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drawings/drawing2.xml" ContentType="application/vnd.openxmlformats-officedocument.drawing+xml"/>
  <Override PartName="/xl/comments3.xml" ContentType="application/vnd.openxmlformats-officedocument.spreadsheetml.comments+xml"/>
  <Override PartName="/xl/charts/chart1.xml" ContentType="application/vnd.openxmlformats-officedocument.drawingml.chart+xml"/>
  <Override PartName="/xl/drawings/drawing3.xml" ContentType="application/vnd.openxmlformats-officedocument.drawing+xml"/>
  <Override PartName="/xl/comments4.xml" ContentType="application/vnd.openxmlformats-officedocument.spreadsheetml.comments+xml"/>
  <Override PartName="/xl/drawings/drawing4.xml" ContentType="application/vnd.openxmlformats-officedocument.drawing+xml"/>
  <Override PartName="/xl/comments5.xml" ContentType="application/vnd.openxmlformats-officedocument.spreadsheetml.comments+xml"/>
  <Override PartName="/xl/drawings/drawing5.xml" ContentType="application/vnd.openxmlformats-officedocument.drawing+xml"/>
  <Override PartName="/xl/comments6.xml" ContentType="application/vnd.openxmlformats-officedocument.spreadsheetml.comments+xml"/>
  <Override PartName="/xl/drawings/drawing6.xml" ContentType="application/vnd.openxmlformats-officedocument.drawing+xml"/>
  <Override PartName="/xl/comments7.xml" ContentType="application/vnd.openxmlformats-officedocument.spreadsheetml.comments+xml"/>
  <Override PartName="/xl/drawings/drawing7.xml" ContentType="application/vnd.openxmlformats-officedocument.drawing+xml"/>
  <Override PartName="/xl/comments8.xml" ContentType="application/vnd.openxmlformats-officedocument.spreadsheetml.comments+xml"/>
  <Override PartName="/xl/charts/chart2.xml" ContentType="application/vnd.openxmlformats-officedocument.drawingml.chart+xml"/>
  <Override PartName="/xl/drawings/drawing8.xml" ContentType="application/vnd.openxmlformats-officedocument.drawingml.chartshapes+xml"/>
  <Override PartName="/xl/drawings/drawing9.xml" ContentType="application/vnd.openxmlformats-officedocument.drawing+xml"/>
  <Override PartName="/xl/comments9.xml" ContentType="application/vnd.openxmlformats-officedocument.spreadsheetml.comments+xml"/>
  <Override PartName="/xl/drawings/drawing10.xml" ContentType="application/vnd.openxmlformats-officedocument.drawing+xml"/>
  <Override PartName="/xl/comments10.xml" ContentType="application/vnd.openxmlformats-officedocument.spreadsheetml.comments+xml"/>
  <Override PartName="/xl/drawings/drawing11.xml" ContentType="application/vnd.openxmlformats-officedocument.drawing+xml"/>
  <Override PartName="/xl/comments11.xml" ContentType="application/vnd.openxmlformats-officedocument.spreadsheetml.comments+xml"/>
  <Override PartName="/xl/drawings/drawing12.xml" ContentType="application/vnd.openxmlformats-officedocument.drawing+xml"/>
  <Override PartName="/xl/comments12.xml" ContentType="application/vnd.openxmlformats-officedocument.spreadsheetml.comments+xml"/>
  <Override PartName="/xl/drawings/drawing13.xml" ContentType="application/vnd.openxmlformats-officedocument.drawing+xml"/>
  <Override PartName="/xl/comments13.xml" ContentType="application/vnd.openxmlformats-officedocument.spreadsheetml.comments+xml"/>
  <Override PartName="/xl/drawings/drawing14.xml" ContentType="application/vnd.openxmlformats-officedocument.drawing+xml"/>
  <Override PartName="/xl/comments14.xml" ContentType="application/vnd.openxmlformats-officedocument.spreadsheetml.comments+xml"/>
  <Override PartName="/xl/drawings/drawing15.xml" ContentType="application/vnd.openxmlformats-officedocument.drawing+xml"/>
  <Override PartName="/xl/comments15.xml" ContentType="application/vnd.openxmlformats-officedocument.spreadsheetml.comments+xml"/>
  <Override PartName="/xl/charts/chart3.xml" ContentType="application/vnd.openxmlformats-officedocument.drawingml.chart+xml"/>
  <Override PartName="/xl/charts/chart4.xml" ContentType="application/vnd.openxmlformats-officedocument.drawingml.chart+xml"/>
  <Override PartName="/xl/drawings/drawing16.xml" ContentType="application/vnd.openxmlformats-officedocument.drawing+xml"/>
  <Override PartName="/xl/comments16.xml" ContentType="application/vnd.openxmlformats-officedocument.spreadsheetml.comments+xml"/>
  <Override PartName="/xl/drawings/drawing17.xml" ContentType="application/vnd.openxmlformats-officedocument.drawing+xml"/>
  <Override PartName="/xl/charts/chart5.xml" ContentType="application/vnd.openxmlformats-officedocument.drawingml.chart+xml"/>
  <Override PartName="/xl/comments17.xml" ContentType="application/vnd.openxmlformats-officedocument.spreadsheetml.comments+xml"/>
  <Override PartName="/xl/drawings/drawing18.xml" ContentType="application/vnd.openxmlformats-officedocument.drawing+xml"/>
  <Override PartName="/xl/comments18.xml" ContentType="application/vnd.openxmlformats-officedocument.spreadsheetml.comments+xml"/>
  <Override PartName="/xl/comments19.xml" ContentType="application/vnd.openxmlformats-officedocument.spreadsheetml.comments+xml"/>
  <Override PartName="/xl/comments20.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29"/>
  <workbookPr codeName="ThisWorkbook"/>
  <mc:AlternateContent xmlns:mc="http://schemas.openxmlformats.org/markup-compatibility/2006">
    <mc:Choice Requires="x15">
      <x15ac:absPath xmlns:x15ac="http://schemas.microsoft.com/office/spreadsheetml/2010/11/ac" url="C:\Users\emastro\Documents\OreSat\GitHub\oresat-c3-rf\link-models\"/>
    </mc:Choice>
  </mc:AlternateContent>
  <xr:revisionPtr revIDLastSave="0" documentId="13_ncr:1_{59C08D80-8B6F-426B-83F7-4BD028A78F8F}" xr6:coauthVersionLast="43" xr6:coauthVersionMax="43" xr10:uidLastSave="{00000000-0000-0000-0000-000000000000}"/>
  <bookViews>
    <workbookView xWindow="-110" yWindow="-110" windowWidth="32220" windowHeight="17620" tabRatio="846" xr2:uid="{00000000-000D-0000-FFFF-FFFF00000000}"/>
  </bookViews>
  <sheets>
    <sheet name="Title Page" sheetId="4" r:id="rId1"/>
    <sheet name="I.I.R.R." sheetId="19" r:id="rId2"/>
    <sheet name="Orbit" sheetId="1" r:id="rId3"/>
    <sheet name="Frequency" sheetId="20" r:id="rId4"/>
    <sheet name="Transmitters" sheetId="14" r:id="rId5"/>
    <sheet name="Receivers" sheetId="15" r:id="rId6"/>
    <sheet name="Antenna Gain" sheetId="9" r:id="rId7"/>
    <sheet name="Antenna Pointing Losses" sheetId="12" r:id="rId8"/>
    <sheet name="Antenna Polarization Loss" sheetId="7" r:id="rId9"/>
    <sheet name="Atmos. &amp; Ionos. Losses" sheetId="8" r:id="rId10"/>
    <sheet name="Modulation-Demodulation Method" sheetId="6" r:id="rId11"/>
    <sheet name="Uplink Budget" sheetId="5" r:id="rId12"/>
    <sheet name="Downlink Budget" sheetId="3" r:id="rId13"/>
    <sheet name="System Peformance Summary" sheetId="23" r:id="rId14"/>
    <sheet name="Antenna Patterns" sheetId="13" r:id="rId15"/>
    <sheet name="Beam Roll-Off Tool" sheetId="10" r:id="rId16"/>
    <sheet name="Beam Roll-Off Plot" sheetId="11" r:id="rId17"/>
    <sheet name="Line Loss Tools &amp; Tables" sheetId="17" r:id="rId18"/>
    <sheet name="VSWR Loss Tool" sheetId="18" r:id="rId19"/>
    <sheet name="GEO Azimuth Calc Data" sheetId="21" r:id="rId20"/>
    <sheet name="Orbit Shape Data" sheetId="2" r:id="rId21"/>
  </sheets>
  <definedNames>
    <definedName name="boltzmann">1.38E-23</definedName>
    <definedName name="lightspeed">299792458</definedName>
    <definedName name="pathloss" localSheetId="13">20*LOG10(4*PI()*distance/wavelength)</definedName>
    <definedName name="pathloss">20*LOG10(4*PI()*distance/wavelength)</definedName>
    <definedName name="r_1">'Antenna Polarization Loss'!$F$6</definedName>
    <definedName name="r_2">'Antenna Polarization Loss'!$F$8</definedName>
    <definedName name="theta">'Antenna Polarization Loss'!$F$10</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J53" i="15" l="1"/>
  <c r="I78" i="14"/>
  <c r="G54" i="23" l="1"/>
  <c r="D109" i="23"/>
  <c r="F107" i="23"/>
  <c r="L105" i="23"/>
  <c r="F104" i="23"/>
  <c r="N101" i="23"/>
  <c r="G97" i="23"/>
  <c r="O96" i="23"/>
  <c r="N95" i="23"/>
  <c r="O93" i="23"/>
  <c r="G93" i="23"/>
  <c r="G91" i="23"/>
  <c r="G89" i="23"/>
  <c r="O88" i="23"/>
  <c r="G87" i="23"/>
  <c r="G78" i="23"/>
  <c r="G77" i="23"/>
  <c r="G76" i="23"/>
  <c r="B75" i="23"/>
  <c r="O71" i="23"/>
  <c r="O69" i="23"/>
  <c r="G67" i="23"/>
  <c r="G66" i="23"/>
  <c r="O65" i="23"/>
  <c r="O62" i="23"/>
  <c r="G61" i="23"/>
  <c r="O60" i="23"/>
  <c r="O58" i="23"/>
  <c r="G58" i="23"/>
  <c r="O55" i="23"/>
  <c r="O51" i="23"/>
  <c r="O50" i="23"/>
  <c r="O49" i="23"/>
  <c r="J49" i="23"/>
  <c r="G47" i="23"/>
  <c r="G45" i="23"/>
  <c r="O40" i="23"/>
  <c r="G40" i="23"/>
  <c r="O39" i="23"/>
  <c r="O29" i="23"/>
  <c r="O27" i="23"/>
  <c r="G25" i="23"/>
  <c r="O23" i="23"/>
  <c r="G21" i="23"/>
  <c r="F20" i="23"/>
  <c r="O19" i="23"/>
  <c r="O15" i="23" s="1"/>
  <c r="O17" i="23" s="1"/>
  <c r="G18" i="23"/>
  <c r="F14" i="23"/>
  <c r="N10" i="23"/>
  <c r="D10" i="23"/>
  <c r="N7" i="23"/>
  <c r="L5" i="23"/>
  <c r="N3" i="23"/>
  <c r="F3" i="23"/>
  <c r="L1" i="23"/>
  <c r="G1" i="23"/>
  <c r="U52" i="15"/>
  <c r="U49" i="15"/>
  <c r="U55" i="15"/>
  <c r="J116" i="15" l="1"/>
  <c r="J115" i="15"/>
  <c r="J114" i="15"/>
  <c r="G72" i="14"/>
  <c r="G71" i="14"/>
  <c r="G70" i="14"/>
  <c r="B62" i="3"/>
  <c r="B63" i="5"/>
  <c r="AA150" i="15"/>
  <c r="Z150" i="15"/>
  <c r="Y150" i="15"/>
  <c r="X150" i="15"/>
  <c r="W150" i="15"/>
  <c r="V150" i="15"/>
  <c r="U150" i="15"/>
  <c r="V149" i="15"/>
  <c r="U149" i="15"/>
  <c r="V148" i="15"/>
  <c r="X148" i="15" s="1"/>
  <c r="U148" i="15"/>
  <c r="V147" i="15"/>
  <c r="X147" i="15" s="1"/>
  <c r="U147" i="15"/>
  <c r="V146" i="15"/>
  <c r="X146" i="15" s="1"/>
  <c r="U146" i="15"/>
  <c r="V145" i="15"/>
  <c r="X145" i="15" s="1"/>
  <c r="U145" i="15"/>
  <c r="V144" i="15"/>
  <c r="X144" i="15" s="1"/>
  <c r="U144" i="15"/>
  <c r="J144" i="15"/>
  <c r="V143" i="15"/>
  <c r="X143" i="15" s="1"/>
  <c r="U143" i="15"/>
  <c r="V142" i="15"/>
  <c r="U142" i="15"/>
  <c r="W141" i="15"/>
  <c r="V141" i="15"/>
  <c r="Z141" i="15" s="1"/>
  <c r="AA141" i="15" s="1"/>
  <c r="U141" i="15"/>
  <c r="W142" i="15" s="1"/>
  <c r="W143" i="15" s="1"/>
  <c r="W144" i="15" s="1"/>
  <c r="W145" i="15" s="1"/>
  <c r="W146" i="15" s="1"/>
  <c r="W147" i="15" s="1"/>
  <c r="W148" i="15" s="1"/>
  <c r="W149" i="15" s="1"/>
  <c r="J136" i="15"/>
  <c r="T131" i="15"/>
  <c r="J123" i="15"/>
  <c r="T122" i="15"/>
  <c r="T120" i="15"/>
  <c r="T133" i="15" s="1"/>
  <c r="J120" i="15"/>
  <c r="J119" i="15"/>
  <c r="J118" i="15"/>
  <c r="AA71" i="15"/>
  <c r="Z71" i="15"/>
  <c r="Y71" i="15"/>
  <c r="X71" i="15"/>
  <c r="W71" i="15"/>
  <c r="V71" i="15"/>
  <c r="U71" i="15"/>
  <c r="X70" i="15"/>
  <c r="V70" i="15"/>
  <c r="U70" i="15"/>
  <c r="V69" i="15"/>
  <c r="U69" i="15"/>
  <c r="V68" i="15"/>
  <c r="X68" i="15" s="1"/>
  <c r="U68" i="15"/>
  <c r="X67" i="15"/>
  <c r="V67" i="15"/>
  <c r="U67" i="15"/>
  <c r="X66" i="15"/>
  <c r="V66" i="15"/>
  <c r="U66" i="15"/>
  <c r="V65" i="15"/>
  <c r="U65" i="15"/>
  <c r="V64" i="15"/>
  <c r="X64" i="15" s="1"/>
  <c r="U64" i="15"/>
  <c r="V63" i="15"/>
  <c r="X63" i="15" s="1"/>
  <c r="U63" i="15"/>
  <c r="W62" i="15"/>
  <c r="V62" i="15"/>
  <c r="X62" i="15" s="1"/>
  <c r="U62" i="15"/>
  <c r="J43" i="15"/>
  <c r="J44" i="15"/>
  <c r="J45" i="15"/>
  <c r="O25" i="23"/>
  <c r="I72" i="14"/>
  <c r="I71" i="14"/>
  <c r="I70" i="14"/>
  <c r="I74" i="14" s="1"/>
  <c r="I67" i="14"/>
  <c r="G60" i="14"/>
  <c r="I30" i="14"/>
  <c r="I32" i="14" s="1"/>
  <c r="I24" i="14"/>
  <c r="G30" i="14"/>
  <c r="I85" i="14" l="1"/>
  <c r="O32" i="23" s="1"/>
  <c r="Z149" i="15"/>
  <c r="Y148" i="15"/>
  <c r="X149" i="15"/>
  <c r="Y149" i="15" s="1"/>
  <c r="Z148" i="15"/>
  <c r="Z142" i="15"/>
  <c r="AA142" i="15" s="1"/>
  <c r="X142" i="15"/>
  <c r="Y142" i="15" s="1"/>
  <c r="Y62" i="15"/>
  <c r="J126" i="15"/>
  <c r="J128" i="15" s="1"/>
  <c r="T135" i="15"/>
  <c r="Y143" i="15"/>
  <c r="Y144" i="15"/>
  <c r="Y146" i="15"/>
  <c r="Y145" i="15"/>
  <c r="Y147" i="15"/>
  <c r="Z143" i="15"/>
  <c r="Z144" i="15"/>
  <c r="Z145" i="15"/>
  <c r="Z146" i="15"/>
  <c r="Z147" i="15"/>
  <c r="X141" i="15"/>
  <c r="Y141" i="15" s="1"/>
  <c r="Z62" i="15"/>
  <c r="AA62" i="15" s="1"/>
  <c r="W63" i="15"/>
  <c r="Y63" i="15" s="1"/>
  <c r="Y66" i="15"/>
  <c r="W64" i="15"/>
  <c r="W65" i="15" s="1"/>
  <c r="W66" i="15" s="1"/>
  <c r="W67" i="15" s="1"/>
  <c r="Z65" i="15"/>
  <c r="Z64" i="15"/>
  <c r="X65" i="15"/>
  <c r="Y65" i="15" s="1"/>
  <c r="X69" i="15"/>
  <c r="I87" i="14"/>
  <c r="O34" i="23" s="1"/>
  <c r="I60" i="14"/>
  <c r="AA143" i="15" l="1"/>
  <c r="AA144" i="15" s="1"/>
  <c r="AA145" i="15" s="1"/>
  <c r="AA146" i="15" s="1"/>
  <c r="AA147" i="15" s="1"/>
  <c r="AA148" i="15" s="1"/>
  <c r="AA149" i="15" s="1"/>
  <c r="Y152" i="15"/>
  <c r="J146" i="15" s="1"/>
  <c r="Z63" i="15"/>
  <c r="AA63" i="15" s="1"/>
  <c r="AA64" i="15" s="1"/>
  <c r="Y67" i="15"/>
  <c r="W68" i="15"/>
  <c r="Z66" i="15"/>
  <c r="AA65" i="15"/>
  <c r="Y64" i="15"/>
  <c r="Z67" i="15"/>
  <c r="J149" i="15" l="1"/>
  <c r="O76" i="23"/>
  <c r="W69" i="15"/>
  <c r="Y68" i="15"/>
  <c r="Z68" i="15"/>
  <c r="AA66" i="15"/>
  <c r="AA67" i="15" s="1"/>
  <c r="AA68" i="15" s="1"/>
  <c r="J48" i="15"/>
  <c r="J49" i="15"/>
  <c r="J47" i="15"/>
  <c r="G56" i="23"/>
  <c r="I36" i="14"/>
  <c r="I28" i="14"/>
  <c r="I29" i="14"/>
  <c r="I27" i="14"/>
  <c r="O81" i="23" l="1"/>
  <c r="AA69" i="15"/>
  <c r="W70" i="15"/>
  <c r="Z69" i="15"/>
  <c r="Y69" i="15"/>
  <c r="I43" i="14"/>
  <c r="G84" i="23" l="1"/>
  <c r="Y70" i="15"/>
  <c r="Y73" i="15" s="1"/>
  <c r="Z70" i="15"/>
  <c r="AA70" i="15"/>
  <c r="J67" i="15"/>
  <c r="J65" i="15"/>
  <c r="I23" i="4"/>
  <c r="M16" i="20"/>
  <c r="F39" i="9"/>
  <c r="F55" i="9" s="1"/>
  <c r="N61" i="9"/>
  <c r="G98" i="12" s="1"/>
  <c r="N60" i="9"/>
  <c r="G97" i="12" s="1"/>
  <c r="F55" i="7"/>
  <c r="F53" i="7"/>
  <c r="F35" i="7"/>
  <c r="F33" i="7"/>
  <c r="F7" i="10"/>
  <c r="S7" i="10" s="1"/>
  <c r="I34" i="10"/>
  <c r="C34" i="10"/>
  <c r="D34" i="10" s="1"/>
  <c r="E34" i="10" s="1"/>
  <c r="F34" i="10" s="1"/>
  <c r="C25" i="10"/>
  <c r="D25" i="10" s="1"/>
  <c r="E25" i="10"/>
  <c r="F25" i="10" s="1"/>
  <c r="F9" i="10"/>
  <c r="F11" i="10" s="1"/>
  <c r="H11" i="10" s="1"/>
  <c r="M10" i="20"/>
  <c r="D4" i="1"/>
  <c r="G4" i="20" s="1"/>
  <c r="B31" i="1"/>
  <c r="B32" i="1" s="1"/>
  <c r="B36" i="1" s="1"/>
  <c r="D6" i="1" s="1"/>
  <c r="G4" i="1" s="1"/>
  <c r="G6" i="20" s="1"/>
  <c r="B91" i="1"/>
  <c r="B104" i="1" s="1"/>
  <c r="B101" i="1"/>
  <c r="B110" i="1"/>
  <c r="D8" i="1"/>
  <c r="D23" i="8"/>
  <c r="B16" i="5" s="1"/>
  <c r="O102" i="1"/>
  <c r="O101" i="1" s="1"/>
  <c r="C29" i="21" s="1"/>
  <c r="B17" i="3"/>
  <c r="E42" i="8" s="1"/>
  <c r="B48" i="8"/>
  <c r="B35" i="8"/>
  <c r="B17" i="5"/>
  <c r="B45" i="1"/>
  <c r="B46" i="1"/>
  <c r="B50" i="1"/>
  <c r="C26" i="21"/>
  <c r="C27" i="21"/>
  <c r="B106" i="1"/>
  <c r="C5" i="21"/>
  <c r="C6" i="21" s="1"/>
  <c r="C8" i="21"/>
  <c r="C9" i="21"/>
  <c r="C10" i="21" s="1"/>
  <c r="D125" i="1"/>
  <c r="D9" i="1"/>
  <c r="E17" i="20"/>
  <c r="E10" i="20"/>
  <c r="E19" i="20"/>
  <c r="E18" i="20"/>
  <c r="E16" i="20"/>
  <c r="E13" i="20"/>
  <c r="E12" i="20"/>
  <c r="E11" i="20"/>
  <c r="B89" i="1"/>
  <c r="E78" i="1"/>
  <c r="E77" i="1"/>
  <c r="E76" i="1"/>
  <c r="E75" i="1"/>
  <c r="E74" i="1"/>
  <c r="E73" i="1"/>
  <c r="B73" i="1"/>
  <c r="D73" i="1" s="1"/>
  <c r="E72" i="1"/>
  <c r="E71" i="1"/>
  <c r="E70" i="1"/>
  <c r="E69" i="1"/>
  <c r="B69" i="1"/>
  <c r="D69" i="1" s="1"/>
  <c r="E68" i="1"/>
  <c r="E67" i="1"/>
  <c r="E66" i="1"/>
  <c r="E65" i="1"/>
  <c r="B65" i="1"/>
  <c r="D65" i="1" s="1"/>
  <c r="K76" i="12"/>
  <c r="K77" i="12"/>
  <c r="K78" i="12"/>
  <c r="K79" i="12"/>
  <c r="K80" i="12"/>
  <c r="H76" i="12"/>
  <c r="H77" i="12"/>
  <c r="H45" i="9"/>
  <c r="H78" i="12" s="1"/>
  <c r="H79" i="12"/>
  <c r="H80" i="12"/>
  <c r="K54" i="12"/>
  <c r="K55" i="12"/>
  <c r="K56" i="12"/>
  <c r="K57" i="12"/>
  <c r="K58" i="12"/>
  <c r="H54" i="12"/>
  <c r="H55" i="12"/>
  <c r="H28" i="9"/>
  <c r="H56" i="12" s="1"/>
  <c r="H57" i="12"/>
  <c r="H58" i="12"/>
  <c r="J41" i="12"/>
  <c r="R38" i="12" s="1"/>
  <c r="K43" i="12" s="1"/>
  <c r="B13" i="5" s="1"/>
  <c r="F58" i="9"/>
  <c r="F41" i="9"/>
  <c r="J40" i="23" s="1"/>
  <c r="F11" i="9"/>
  <c r="F24" i="9"/>
  <c r="B67" i="23" s="1"/>
  <c r="B50" i="5"/>
  <c r="E74" i="12"/>
  <c r="K85" i="12" s="1"/>
  <c r="K74" i="12"/>
  <c r="K95" i="12"/>
  <c r="K82" i="12"/>
  <c r="H82" i="12"/>
  <c r="B10" i="3"/>
  <c r="O38" i="23" s="1"/>
  <c r="E52" i="12"/>
  <c r="R54" i="12"/>
  <c r="K63" i="12"/>
  <c r="B49" i="5" s="1"/>
  <c r="K60" i="12"/>
  <c r="H60" i="12"/>
  <c r="B23" i="5"/>
  <c r="G65" i="23" s="1"/>
  <c r="C217" i="13"/>
  <c r="D19" i="13"/>
  <c r="D18" i="13"/>
  <c r="D17" i="13"/>
  <c r="D16" i="13"/>
  <c r="D15" i="13"/>
  <c r="D14" i="13"/>
  <c r="D13" i="13"/>
  <c r="D12" i="13"/>
  <c r="D11" i="13"/>
  <c r="D10" i="13"/>
  <c r="D9" i="13"/>
  <c r="D20" i="13"/>
  <c r="D21" i="13"/>
  <c r="D22" i="13"/>
  <c r="D23" i="13"/>
  <c r="D24" i="13"/>
  <c r="D25" i="13"/>
  <c r="D26" i="13"/>
  <c r="D27" i="13"/>
  <c r="C16" i="10"/>
  <c r="D16" i="10" s="1"/>
  <c r="E16" i="10" s="1"/>
  <c r="F16" i="10"/>
  <c r="G16" i="14"/>
  <c r="I16" i="14" s="1"/>
  <c r="D1" i="3"/>
  <c r="D1" i="5"/>
  <c r="G1" i="6"/>
  <c r="E1" i="6"/>
  <c r="M1" i="8"/>
  <c r="H1" i="8"/>
  <c r="N1" i="7"/>
  <c r="J1" i="7"/>
  <c r="K1" i="12"/>
  <c r="G1" i="12"/>
  <c r="L1" i="9"/>
  <c r="G1" i="9"/>
  <c r="K1" i="15"/>
  <c r="H1" i="15"/>
  <c r="J1" i="14"/>
  <c r="F1" i="14"/>
  <c r="E1" i="1"/>
  <c r="M1" i="19"/>
  <c r="J1" i="19"/>
  <c r="K23" i="4"/>
  <c r="B6" i="3"/>
  <c r="B7" i="3" s="1"/>
  <c r="F57" i="7"/>
  <c r="F59" i="7" s="1"/>
  <c r="F63" i="7" s="1"/>
  <c r="B49" i="3"/>
  <c r="E95" i="12"/>
  <c r="J100" i="12"/>
  <c r="R97" i="12"/>
  <c r="K102" i="12" s="1"/>
  <c r="D216" i="13"/>
  <c r="C177" i="13"/>
  <c r="D177" i="13" s="1"/>
  <c r="C178" i="13"/>
  <c r="D176" i="13"/>
  <c r="R79" i="12"/>
  <c r="P80" i="12"/>
  <c r="V20" i="18"/>
  <c r="V18" i="18"/>
  <c r="O23" i="18" s="1"/>
  <c r="B23" i="3"/>
  <c r="B29" i="3"/>
  <c r="H33" i="6"/>
  <c r="B41" i="3" s="1"/>
  <c r="B6" i="5"/>
  <c r="B7" i="5" s="1"/>
  <c r="B8" i="5" s="1"/>
  <c r="B10" i="5"/>
  <c r="E36" i="12"/>
  <c r="N13" i="9"/>
  <c r="F37" i="7"/>
  <c r="F39" i="7"/>
  <c r="F40" i="7" s="1"/>
  <c r="B14" i="5" s="1"/>
  <c r="R55" i="12"/>
  <c r="K52" i="12"/>
  <c r="K36" i="12"/>
  <c r="B29" i="5"/>
  <c r="H5" i="6"/>
  <c r="B41" i="5" s="1"/>
  <c r="L128" i="17"/>
  <c r="L124" i="17"/>
  <c r="H84" i="17"/>
  <c r="L106" i="17"/>
  <c r="L102" i="17"/>
  <c r="H90" i="17"/>
  <c r="H89" i="17"/>
  <c r="H88" i="17"/>
  <c r="H87" i="17"/>
  <c r="H86" i="17"/>
  <c r="H82" i="17"/>
  <c r="L85" i="17"/>
  <c r="H85" i="17"/>
  <c r="H83" i="17"/>
  <c r="L81" i="17"/>
  <c r="H81" i="17"/>
  <c r="H79" i="17"/>
  <c r="H78" i="17"/>
  <c r="H69" i="17"/>
  <c r="H63" i="17"/>
  <c r="H68" i="17"/>
  <c r="H67" i="17"/>
  <c r="H66" i="17"/>
  <c r="H65" i="17"/>
  <c r="H64" i="17"/>
  <c r="H61" i="17"/>
  <c r="L64" i="17"/>
  <c r="H62" i="17"/>
  <c r="L60" i="17"/>
  <c r="H60" i="17"/>
  <c r="H58" i="17"/>
  <c r="H57" i="17"/>
  <c r="H40" i="17"/>
  <c r="H43" i="17"/>
  <c r="L43" i="17"/>
  <c r="L39" i="17"/>
  <c r="H47" i="17"/>
  <c r="H46" i="17"/>
  <c r="H45" i="17"/>
  <c r="H44" i="17"/>
  <c r="H41" i="17"/>
  <c r="H39" i="17"/>
  <c r="H37" i="17"/>
  <c r="H36" i="17"/>
  <c r="Q36" i="18"/>
  <c r="H10" i="18"/>
  <c r="H12" i="18" s="1"/>
  <c r="H14" i="18" s="1"/>
  <c r="B33" i="3"/>
  <c r="B32" i="3"/>
  <c r="B35" i="3"/>
  <c r="B33" i="5"/>
  <c r="B32" i="5"/>
  <c r="B35" i="5"/>
  <c r="B39" i="5"/>
  <c r="B37" i="5"/>
  <c r="F31" i="6"/>
  <c r="B39" i="3"/>
  <c r="B37" i="3"/>
  <c r="E29" i="8"/>
  <c r="R76" i="12"/>
  <c r="R80" i="12"/>
  <c r="R77" i="12"/>
  <c r="R58" i="12"/>
  <c r="R57" i="12"/>
  <c r="Q14" i="9"/>
  <c r="J39" i="12" s="1"/>
  <c r="Q61" i="9"/>
  <c r="J98" i="12" s="1"/>
  <c r="Q60" i="9"/>
  <c r="J97" i="12" s="1"/>
  <c r="G41" i="12"/>
  <c r="F74" i="12"/>
  <c r="K39" i="9"/>
  <c r="K72" i="12" s="1"/>
  <c r="F72" i="12"/>
  <c r="D85" i="13"/>
  <c r="D84" i="13"/>
  <c r="D82" i="13"/>
  <c r="D81" i="13"/>
  <c r="D63" i="13"/>
  <c r="D62" i="13"/>
  <c r="D60" i="13"/>
  <c r="D59" i="13"/>
  <c r="C51" i="13"/>
  <c r="D51" i="13" s="1"/>
  <c r="D50" i="13"/>
  <c r="E171" i="13"/>
  <c r="D171" i="13"/>
  <c r="C100" i="13"/>
  <c r="E99" i="13"/>
  <c r="D100" i="13"/>
  <c r="D99" i="13"/>
  <c r="N14" i="9"/>
  <c r="G39" i="12" s="1"/>
  <c r="F64" i="7"/>
  <c r="H60" i="9"/>
  <c r="H13" i="9"/>
  <c r="J3" i="10"/>
  <c r="C104" i="10"/>
  <c r="D104" i="10"/>
  <c r="E104" i="10" s="1"/>
  <c r="F104" i="10" s="1"/>
  <c r="C103" i="10"/>
  <c r="D103" i="10"/>
  <c r="E103" i="10" s="1"/>
  <c r="F103" i="10" s="1"/>
  <c r="C102" i="10"/>
  <c r="D102" i="10"/>
  <c r="E102" i="10" s="1"/>
  <c r="F102" i="10" s="1"/>
  <c r="C101" i="10"/>
  <c r="D101" i="10"/>
  <c r="E101" i="10" s="1"/>
  <c r="F101" i="10" s="1"/>
  <c r="C100" i="10"/>
  <c r="D100" i="10"/>
  <c r="E100" i="10" s="1"/>
  <c r="F100" i="10" s="1"/>
  <c r="C99" i="10"/>
  <c r="D99" i="10"/>
  <c r="E99" i="10" s="1"/>
  <c r="F99" i="10" s="1"/>
  <c r="C98" i="10"/>
  <c r="D98" i="10"/>
  <c r="E98" i="10" s="1"/>
  <c r="F98" i="10" s="1"/>
  <c r="C97" i="10"/>
  <c r="D97" i="10"/>
  <c r="E97" i="10" s="1"/>
  <c r="F97" i="10" s="1"/>
  <c r="C96" i="10"/>
  <c r="D96" i="10"/>
  <c r="E96" i="10" s="1"/>
  <c r="F96" i="10" s="1"/>
  <c r="C95" i="10"/>
  <c r="D95" i="10"/>
  <c r="E95" i="10" s="1"/>
  <c r="F95" i="10" s="1"/>
  <c r="C94" i="10"/>
  <c r="D94" i="10"/>
  <c r="E94" i="10" s="1"/>
  <c r="F94" i="10" s="1"/>
  <c r="C93" i="10"/>
  <c r="D93" i="10"/>
  <c r="E93" i="10" s="1"/>
  <c r="F93" i="10" s="1"/>
  <c r="C92" i="10"/>
  <c r="D92" i="10"/>
  <c r="E92" i="10" s="1"/>
  <c r="F92" i="10" s="1"/>
  <c r="C91" i="10"/>
  <c r="D91" i="10"/>
  <c r="E91" i="10" s="1"/>
  <c r="F91" i="10" s="1"/>
  <c r="C90" i="10"/>
  <c r="D90" i="10"/>
  <c r="E90" i="10" s="1"/>
  <c r="F90" i="10" s="1"/>
  <c r="C89" i="10"/>
  <c r="D89" i="10"/>
  <c r="E89" i="10" s="1"/>
  <c r="F89" i="10" s="1"/>
  <c r="C88" i="10"/>
  <c r="D88" i="10"/>
  <c r="E88" i="10" s="1"/>
  <c r="F88" i="10" s="1"/>
  <c r="C87" i="10"/>
  <c r="D87" i="10"/>
  <c r="E87" i="10" s="1"/>
  <c r="F87" i="10" s="1"/>
  <c r="C86" i="10"/>
  <c r="D86" i="10"/>
  <c r="E86" i="10" s="1"/>
  <c r="F86" i="10" s="1"/>
  <c r="C85" i="10"/>
  <c r="D85" i="10"/>
  <c r="E85" i="10" s="1"/>
  <c r="F85" i="10" s="1"/>
  <c r="C84" i="10"/>
  <c r="D84" i="10"/>
  <c r="E84" i="10" s="1"/>
  <c r="F84" i="10" s="1"/>
  <c r="C83" i="10"/>
  <c r="D83" i="10"/>
  <c r="E83" i="10" s="1"/>
  <c r="F83" i="10" s="1"/>
  <c r="C82" i="10"/>
  <c r="D82" i="10"/>
  <c r="E82" i="10" s="1"/>
  <c r="F82" i="10" s="1"/>
  <c r="C81" i="10"/>
  <c r="D81" i="10"/>
  <c r="E81" i="10" s="1"/>
  <c r="F81" i="10" s="1"/>
  <c r="C80" i="10"/>
  <c r="D80" i="10"/>
  <c r="E80" i="10" s="1"/>
  <c r="F80" i="10" s="1"/>
  <c r="C79" i="10"/>
  <c r="D79" i="10"/>
  <c r="E79" i="10" s="1"/>
  <c r="F79" i="10" s="1"/>
  <c r="C78" i="10"/>
  <c r="D78" i="10"/>
  <c r="E78" i="10" s="1"/>
  <c r="F78" i="10" s="1"/>
  <c r="C77" i="10"/>
  <c r="D77" i="10"/>
  <c r="E77" i="10" s="1"/>
  <c r="F77" i="10" s="1"/>
  <c r="C76" i="10"/>
  <c r="D76" i="10"/>
  <c r="E76" i="10" s="1"/>
  <c r="F76" i="10" s="1"/>
  <c r="C75" i="10"/>
  <c r="D75" i="10"/>
  <c r="E75" i="10" s="1"/>
  <c r="F75" i="10" s="1"/>
  <c r="C74" i="10"/>
  <c r="D74" i="10"/>
  <c r="E74" i="10" s="1"/>
  <c r="F74" i="10" s="1"/>
  <c r="C73" i="10"/>
  <c r="D73" i="10"/>
  <c r="E73" i="10" s="1"/>
  <c r="F73" i="10" s="1"/>
  <c r="C72" i="10"/>
  <c r="D72" i="10"/>
  <c r="E72" i="10" s="1"/>
  <c r="F72" i="10" s="1"/>
  <c r="C71" i="10"/>
  <c r="D71" i="10"/>
  <c r="E71" i="10" s="1"/>
  <c r="F71" i="10" s="1"/>
  <c r="C70" i="10"/>
  <c r="D70" i="10"/>
  <c r="E70" i="10" s="1"/>
  <c r="F70" i="10" s="1"/>
  <c r="C69" i="10"/>
  <c r="D69" i="10"/>
  <c r="E69" i="10" s="1"/>
  <c r="F69" i="10" s="1"/>
  <c r="C68" i="10"/>
  <c r="D68" i="10"/>
  <c r="E68" i="10" s="1"/>
  <c r="F68" i="10" s="1"/>
  <c r="C67" i="10"/>
  <c r="D67" i="10"/>
  <c r="E67" i="10" s="1"/>
  <c r="F67" i="10" s="1"/>
  <c r="C66" i="10"/>
  <c r="D66" i="10"/>
  <c r="E66" i="10" s="1"/>
  <c r="F66" i="10" s="1"/>
  <c r="C65" i="10"/>
  <c r="D65" i="10"/>
  <c r="E65" i="10" s="1"/>
  <c r="F65" i="10" s="1"/>
  <c r="C64" i="10"/>
  <c r="D64" i="10"/>
  <c r="E64" i="10" s="1"/>
  <c r="F64" i="10" s="1"/>
  <c r="C63" i="10"/>
  <c r="D63" i="10"/>
  <c r="E63" i="10" s="1"/>
  <c r="F63" i="10" s="1"/>
  <c r="C62" i="10"/>
  <c r="D62" i="10"/>
  <c r="E62" i="10" s="1"/>
  <c r="F62" i="10" s="1"/>
  <c r="C61" i="10"/>
  <c r="D61" i="10"/>
  <c r="E61" i="10" s="1"/>
  <c r="F61" i="10" s="1"/>
  <c r="C60" i="10"/>
  <c r="D60" i="10"/>
  <c r="E60" i="10" s="1"/>
  <c r="F60" i="10" s="1"/>
  <c r="C59" i="10"/>
  <c r="D59" i="10"/>
  <c r="E59" i="10" s="1"/>
  <c r="F59" i="10" s="1"/>
  <c r="C58" i="10"/>
  <c r="D58" i="10"/>
  <c r="E58" i="10" s="1"/>
  <c r="F58" i="10" s="1"/>
  <c r="C57" i="10"/>
  <c r="D57" i="10"/>
  <c r="E57" i="10" s="1"/>
  <c r="F57" i="10" s="1"/>
  <c r="C56" i="10"/>
  <c r="D56" i="10"/>
  <c r="E56" i="10" s="1"/>
  <c r="F56" i="10" s="1"/>
  <c r="C55" i="10"/>
  <c r="D55" i="10"/>
  <c r="E55" i="10" s="1"/>
  <c r="F55" i="10" s="1"/>
  <c r="C54" i="10"/>
  <c r="D54" i="10"/>
  <c r="E54" i="10" s="1"/>
  <c r="F54" i="10" s="1"/>
  <c r="C53" i="10"/>
  <c r="D53" i="10"/>
  <c r="E53" i="10" s="1"/>
  <c r="F53" i="10" s="1"/>
  <c r="C52" i="10"/>
  <c r="D52" i="10"/>
  <c r="E52" i="10" s="1"/>
  <c r="F52" i="10" s="1"/>
  <c r="C51" i="10"/>
  <c r="D51" i="10"/>
  <c r="E51" i="10" s="1"/>
  <c r="F51" i="10" s="1"/>
  <c r="C50" i="10"/>
  <c r="D50" i="10"/>
  <c r="E50" i="10" s="1"/>
  <c r="F50" i="10" s="1"/>
  <c r="C49" i="10"/>
  <c r="D49" i="10"/>
  <c r="E49" i="10" s="1"/>
  <c r="F49" i="10" s="1"/>
  <c r="C48" i="10"/>
  <c r="D48" i="10"/>
  <c r="E48" i="10" s="1"/>
  <c r="F48" i="10" s="1"/>
  <c r="C47" i="10"/>
  <c r="D47" i="10"/>
  <c r="E47" i="10" s="1"/>
  <c r="F47" i="10" s="1"/>
  <c r="C46" i="10"/>
  <c r="D46" i="10"/>
  <c r="E46" i="10" s="1"/>
  <c r="F46" i="10" s="1"/>
  <c r="C45" i="10"/>
  <c r="D45" i="10"/>
  <c r="E45" i="10" s="1"/>
  <c r="F45" i="10" s="1"/>
  <c r="C44" i="10"/>
  <c r="D44" i="10"/>
  <c r="E44" i="10" s="1"/>
  <c r="F44" i="10" s="1"/>
  <c r="C43" i="10"/>
  <c r="D43" i="10"/>
  <c r="E43" i="10" s="1"/>
  <c r="F43" i="10" s="1"/>
  <c r="C42" i="10"/>
  <c r="D42" i="10"/>
  <c r="E42" i="10" s="1"/>
  <c r="F42" i="10" s="1"/>
  <c r="C41" i="10"/>
  <c r="D41" i="10"/>
  <c r="E41" i="10" s="1"/>
  <c r="F41" i="10" s="1"/>
  <c r="C40" i="10"/>
  <c r="D40" i="10"/>
  <c r="E40" i="10" s="1"/>
  <c r="F40" i="10" s="1"/>
  <c r="C39" i="10"/>
  <c r="D39" i="10"/>
  <c r="E39" i="10" s="1"/>
  <c r="F39" i="10" s="1"/>
  <c r="C38" i="10"/>
  <c r="D38" i="10"/>
  <c r="E38" i="10" s="1"/>
  <c r="F38" i="10" s="1"/>
  <c r="C37" i="10"/>
  <c r="D37" i="10"/>
  <c r="E37" i="10" s="1"/>
  <c r="F37" i="10" s="1"/>
  <c r="C36" i="10"/>
  <c r="D36" i="10"/>
  <c r="E36" i="10" s="1"/>
  <c r="F36" i="10" s="1"/>
  <c r="C35" i="10"/>
  <c r="D35" i="10"/>
  <c r="E35" i="10" s="1"/>
  <c r="F35" i="10" s="1"/>
  <c r="C33" i="10"/>
  <c r="D33" i="10"/>
  <c r="E33" i="10" s="1"/>
  <c r="F33" i="10"/>
  <c r="C32" i="10"/>
  <c r="D32" i="10"/>
  <c r="E32" i="10"/>
  <c r="F32" i="10"/>
  <c r="C31" i="10"/>
  <c r="D31" i="10"/>
  <c r="E31" i="10"/>
  <c r="F31" i="10"/>
  <c r="C30" i="10"/>
  <c r="D30" i="10"/>
  <c r="E30" i="10"/>
  <c r="F30" i="10"/>
  <c r="C29" i="10"/>
  <c r="D29" i="10"/>
  <c r="E29" i="10"/>
  <c r="F29" i="10"/>
  <c r="C28" i="10"/>
  <c r="D28" i="10"/>
  <c r="E28" i="10"/>
  <c r="F28" i="10"/>
  <c r="C27" i="10"/>
  <c r="D27" i="10"/>
  <c r="E27" i="10"/>
  <c r="F27" i="10"/>
  <c r="C26" i="10"/>
  <c r="D26" i="10"/>
  <c r="E26" i="10"/>
  <c r="F26" i="10"/>
  <c r="C24" i="10"/>
  <c r="D24" i="10"/>
  <c r="E24" i="10"/>
  <c r="F24" i="10" s="1"/>
  <c r="C23" i="10"/>
  <c r="D23" i="10" s="1"/>
  <c r="E23" i="10" s="1"/>
  <c r="F23" i="10" s="1"/>
  <c r="I22" i="10"/>
  <c r="C22" i="10"/>
  <c r="D22" i="10" s="1"/>
  <c r="E22" i="10" s="1"/>
  <c r="F22" i="10" s="1"/>
  <c r="C21" i="10"/>
  <c r="D21" i="10"/>
  <c r="E21" i="10" s="1"/>
  <c r="F21" i="10" s="1"/>
  <c r="I20" i="10"/>
  <c r="C20" i="10"/>
  <c r="D20" i="10" s="1"/>
  <c r="E20" i="10"/>
  <c r="F20" i="10" s="1"/>
  <c r="C19" i="10"/>
  <c r="D19" i="10" s="1"/>
  <c r="E19" i="10"/>
  <c r="F19" i="10"/>
  <c r="I18" i="10"/>
  <c r="C18" i="10"/>
  <c r="D18" i="10"/>
  <c r="E18" i="10"/>
  <c r="F18" i="10" s="1"/>
  <c r="C17" i="10"/>
  <c r="D17" i="10"/>
  <c r="E17" i="10"/>
  <c r="F17" i="10" s="1"/>
  <c r="C15" i="10"/>
  <c r="D15" i="10"/>
  <c r="E15" i="10"/>
  <c r="F5" i="10"/>
  <c r="F44" i="7"/>
  <c r="F45" i="7"/>
  <c r="F43" i="7"/>
  <c r="F3" i="6"/>
  <c r="A1" i="3"/>
  <c r="D2" i="3"/>
  <c r="F2" i="3"/>
  <c r="F1" i="3"/>
  <c r="K1" i="1"/>
  <c r="I1" i="1"/>
  <c r="B22" i="1"/>
  <c r="B33" i="1" s="1"/>
  <c r="B21" i="1"/>
  <c r="B27" i="1"/>
  <c r="E40" i="2"/>
  <c r="F4" i="2"/>
  <c r="C4" i="2"/>
  <c r="B4" i="2" s="1"/>
  <c r="B3" i="2"/>
  <c r="F43" i="2"/>
  <c r="E42" i="2"/>
  <c r="E41" i="2"/>
  <c r="C43" i="2"/>
  <c r="C44" i="2"/>
  <c r="B44" i="2" s="1"/>
  <c r="B43" i="2"/>
  <c r="B42" i="2"/>
  <c r="A1" i="5"/>
  <c r="D2" i="5"/>
  <c r="F2" i="5"/>
  <c r="O107" i="1"/>
  <c r="C38" i="21" s="1"/>
  <c r="O110" i="1"/>
  <c r="O104" i="1" s="1"/>
  <c r="C30" i="21"/>
  <c r="C31" i="21" s="1"/>
  <c r="B107" i="1"/>
  <c r="C17" i="21"/>
  <c r="C45" i="2"/>
  <c r="C46" i="2" s="1"/>
  <c r="F5" i="2"/>
  <c r="E4" i="2" s="1"/>
  <c r="E3" i="2"/>
  <c r="C5" i="2"/>
  <c r="C6" i="2" s="1"/>
  <c r="B6" i="2" s="1"/>
  <c r="I104" i="10"/>
  <c r="I102" i="10"/>
  <c r="I100" i="10"/>
  <c r="I94" i="10"/>
  <c r="I92" i="10"/>
  <c r="I88" i="10"/>
  <c r="I76" i="10"/>
  <c r="I70" i="10"/>
  <c r="I64" i="10"/>
  <c r="I56" i="10"/>
  <c r="I50" i="10"/>
  <c r="I44" i="10"/>
  <c r="I40" i="10"/>
  <c r="I36" i="10"/>
  <c r="I33" i="10"/>
  <c r="I103" i="10"/>
  <c r="I101" i="10"/>
  <c r="I99" i="10"/>
  <c r="I95" i="10"/>
  <c r="I93" i="10"/>
  <c r="I91" i="10"/>
  <c r="I87" i="10"/>
  <c r="I85" i="10"/>
  <c r="I83" i="10"/>
  <c r="I79" i="10"/>
  <c r="I77" i="10"/>
  <c r="I75" i="10"/>
  <c r="I71" i="10"/>
  <c r="I69" i="10"/>
  <c r="I67" i="10"/>
  <c r="I63" i="10"/>
  <c r="I61" i="10"/>
  <c r="I59" i="10"/>
  <c r="I55" i="10"/>
  <c r="I53" i="10"/>
  <c r="I51" i="10"/>
  <c r="I47" i="10"/>
  <c r="I45" i="10"/>
  <c r="I43" i="10"/>
  <c r="I39" i="10"/>
  <c r="I37" i="10"/>
  <c r="I35" i="10"/>
  <c r="I30" i="10"/>
  <c r="I28" i="10"/>
  <c r="I26" i="10"/>
  <c r="I21" i="10"/>
  <c r="I19" i="10"/>
  <c r="I17" i="10"/>
  <c r="I96" i="10"/>
  <c r="I90" i="10"/>
  <c r="I86" i="10"/>
  <c r="I80" i="10"/>
  <c r="I78" i="10"/>
  <c r="I74" i="10"/>
  <c r="I68" i="10"/>
  <c r="I66" i="10"/>
  <c r="I60" i="10"/>
  <c r="I54" i="10"/>
  <c r="I52" i="10"/>
  <c r="I48" i="10"/>
  <c r="I38" i="10"/>
  <c r="I31" i="10"/>
  <c r="I27" i="10"/>
  <c r="C52" i="13"/>
  <c r="K55" i="9"/>
  <c r="L48" i="9"/>
  <c r="K81" i="12" s="1"/>
  <c r="U81" i="12" s="1"/>
  <c r="R81" i="12" s="1"/>
  <c r="H48" i="9"/>
  <c r="H81" i="12"/>
  <c r="C28" i="21"/>
  <c r="C179" i="13"/>
  <c r="D179" i="13" s="1"/>
  <c r="D178" i="13"/>
  <c r="C7" i="21"/>
  <c r="C15" i="21" s="1"/>
  <c r="E15" i="21" s="1"/>
  <c r="C14" i="21"/>
  <c r="E14" i="21"/>
  <c r="G13" i="20"/>
  <c r="M12" i="20" s="1"/>
  <c r="B15" i="5" s="1"/>
  <c r="G19" i="20"/>
  <c r="M18" i="20" s="1"/>
  <c r="B15" i="3" s="1"/>
  <c r="G18" i="20"/>
  <c r="G16" i="20"/>
  <c r="G11" i="20"/>
  <c r="G17" i="20"/>
  <c r="K10" i="18"/>
  <c r="K12" i="18" s="1"/>
  <c r="F8" i="9"/>
  <c r="F22" i="9" s="1"/>
  <c r="O106" i="1"/>
  <c r="L31" i="9"/>
  <c r="K59" i="12" s="1"/>
  <c r="U59" i="12" s="1"/>
  <c r="R59" i="12" s="1"/>
  <c r="H31" i="9"/>
  <c r="H59" i="12"/>
  <c r="K8" i="9"/>
  <c r="U14" i="9" s="1"/>
  <c r="F92" i="12"/>
  <c r="B5" i="2"/>
  <c r="F6" i="2"/>
  <c r="B45" i="2"/>
  <c r="C180" i="13"/>
  <c r="C181" i="13" s="1"/>
  <c r="D181" i="13" s="1"/>
  <c r="C47" i="2"/>
  <c r="C48" i="2" s="1"/>
  <c r="C49" i="2" s="1"/>
  <c r="C50" i="2" s="1"/>
  <c r="B50" i="2" s="1"/>
  <c r="B46" i="2"/>
  <c r="C7" i="2"/>
  <c r="B7" i="2" s="1"/>
  <c r="U13" i="9"/>
  <c r="B47" i="2"/>
  <c r="B48" i="2"/>
  <c r="B49" i="2"/>
  <c r="C51" i="2"/>
  <c r="B51" i="2" s="1"/>
  <c r="U61" i="9"/>
  <c r="K92" i="12"/>
  <c r="U60" i="9"/>
  <c r="C33" i="21"/>
  <c r="E33" i="21" s="1"/>
  <c r="C34" i="21"/>
  <c r="E34" i="21" s="1"/>
  <c r="K33" i="12"/>
  <c r="F33" i="12"/>
  <c r="N15" i="9"/>
  <c r="G40" i="12" s="1"/>
  <c r="Q15" i="9"/>
  <c r="J40" i="12" s="1"/>
  <c r="C36" i="21"/>
  <c r="E36" i="21" s="1"/>
  <c r="C35" i="21"/>
  <c r="E35" i="21" s="1"/>
  <c r="K72" i="1"/>
  <c r="B13" i="3"/>
  <c r="C13" i="21"/>
  <c r="E13" i="21"/>
  <c r="C12" i="21"/>
  <c r="E12" i="21" s="1"/>
  <c r="F52" i="12" l="1"/>
  <c r="N45" i="23"/>
  <c r="F50" i="12"/>
  <c r="K22" i="9"/>
  <c r="K50" i="12" s="1"/>
  <c r="E19" i="21"/>
  <c r="B108" i="1" s="1"/>
  <c r="E40" i="21"/>
  <c r="O108" i="1" s="1"/>
  <c r="F44" i="2"/>
  <c r="E43" i="2"/>
  <c r="C52" i="2"/>
  <c r="D180" i="13"/>
  <c r="C182" i="13"/>
  <c r="C8" i="2"/>
  <c r="F7" i="2"/>
  <c r="E5" i="2"/>
  <c r="D52" i="13"/>
  <c r="C53" i="13"/>
  <c r="B28" i="1"/>
  <c r="B29" i="1"/>
  <c r="N62" i="9"/>
  <c r="G99" i="12" s="1"/>
  <c r="Q62" i="9"/>
  <c r="J99" i="12" s="1"/>
  <c r="B77" i="1"/>
  <c r="D77" i="1" s="1"/>
  <c r="C63" i="1" s="1"/>
  <c r="B75" i="1"/>
  <c r="D75" i="1" s="1"/>
  <c r="B71" i="1"/>
  <c r="D71" i="1" s="1"/>
  <c r="B67" i="1"/>
  <c r="D67" i="1" s="1"/>
  <c r="B78" i="1"/>
  <c r="D78" i="1" s="1"/>
  <c r="B76" i="1"/>
  <c r="D76" i="1" s="1"/>
  <c r="B72" i="1"/>
  <c r="D72" i="1" s="1"/>
  <c r="B68" i="1"/>
  <c r="D68" i="1" s="1"/>
  <c r="B52" i="1"/>
  <c r="B74" i="1"/>
  <c r="D74" i="1" s="1"/>
  <c r="B70" i="1"/>
  <c r="D70" i="1" s="1"/>
  <c r="B66" i="1"/>
  <c r="D66" i="1" s="1"/>
  <c r="B51" i="1"/>
  <c r="Q13" i="9"/>
  <c r="J38" i="12" s="1"/>
  <c r="G38" i="12"/>
  <c r="C218" i="13"/>
  <c r="D217" i="13"/>
  <c r="C101" i="13"/>
  <c r="E100" i="13"/>
  <c r="R56" i="12"/>
  <c r="I25" i="10"/>
  <c r="I24" i="10"/>
  <c r="I16" i="10"/>
  <c r="I98" i="10"/>
  <c r="I82" i="10"/>
  <c r="I62" i="10"/>
  <c r="I42" i="10"/>
  <c r="I29" i="10"/>
  <c r="I97" i="10"/>
  <c r="I89" i="10"/>
  <c r="I81" i="10"/>
  <c r="I73" i="10"/>
  <c r="I65" i="10"/>
  <c r="I57" i="10"/>
  <c r="I49" i="10"/>
  <c r="I41" i="10"/>
  <c r="I32" i="10"/>
  <c r="I23" i="10"/>
  <c r="I15" i="10"/>
  <c r="I84" i="10"/>
  <c r="I72" i="10"/>
  <c r="I58" i="10"/>
  <c r="I46" i="10"/>
  <c r="F60" i="7"/>
  <c r="F95" i="12"/>
  <c r="B53" i="1"/>
  <c r="G10" i="20"/>
  <c r="G12" i="20"/>
  <c r="R78" i="12"/>
  <c r="G27" i="14"/>
  <c r="G28" i="14"/>
  <c r="G29" i="14"/>
  <c r="B9" i="3"/>
  <c r="B11" i="3" s="1"/>
  <c r="O42" i="23" s="1"/>
  <c r="B9" i="5"/>
  <c r="B11" i="5" s="1"/>
  <c r="I45" i="14"/>
  <c r="B22" i="3"/>
  <c r="B48" i="3"/>
  <c r="B8" i="3"/>
  <c r="K71" i="1"/>
  <c r="B22" i="5"/>
  <c r="F36" i="12"/>
  <c r="B16" i="3"/>
  <c r="J55" i="15"/>
  <c r="G51" i="23" s="1"/>
  <c r="G82" i="23" l="1"/>
  <c r="G74" i="23"/>
  <c r="F72" i="23"/>
  <c r="C9" i="2"/>
  <c r="B8" i="2"/>
  <c r="K68" i="1"/>
  <c r="K70" i="1" s="1"/>
  <c r="K63" i="1"/>
  <c r="D7" i="1" s="1"/>
  <c r="C183" i="13"/>
  <c r="D182" i="13"/>
  <c r="E44" i="2"/>
  <c r="F45" i="2"/>
  <c r="E101" i="13"/>
  <c r="D101" i="13"/>
  <c r="C102" i="13"/>
  <c r="C219" i="13"/>
  <c r="D218" i="13"/>
  <c r="B14" i="3"/>
  <c r="B19" i="3" s="1"/>
  <c r="O47" i="23" s="1"/>
  <c r="F65" i="7"/>
  <c r="D53" i="13"/>
  <c r="C54" i="13"/>
  <c r="F8" i="2"/>
  <c r="E6" i="2"/>
  <c r="B52" i="2"/>
  <c r="C53" i="2"/>
  <c r="B24" i="3"/>
  <c r="B50" i="3"/>
  <c r="B19" i="5"/>
  <c r="G69" i="23" s="1"/>
  <c r="B24" i="5"/>
  <c r="J57" i="15"/>
  <c r="J70" i="15" s="1"/>
  <c r="B52" i="5" s="1"/>
  <c r="B59" i="5" s="1"/>
  <c r="B51" i="5"/>
  <c r="B51" i="3" l="1"/>
  <c r="E102" i="13"/>
  <c r="C103" i="13"/>
  <c r="D102" i="13"/>
  <c r="F46" i="2"/>
  <c r="E45" i="2"/>
  <c r="F9" i="2"/>
  <c r="E7" i="2"/>
  <c r="C55" i="13"/>
  <c r="D54" i="13"/>
  <c r="C54" i="2"/>
  <c r="B53" i="2"/>
  <c r="D219" i="13"/>
  <c r="C220" i="13"/>
  <c r="C184" i="13"/>
  <c r="D183" i="13"/>
  <c r="B9" i="2"/>
  <c r="C10" i="2"/>
  <c r="B55" i="5"/>
  <c r="B61" i="5" s="1"/>
  <c r="B25" i="5"/>
  <c r="G35" i="23" s="1"/>
  <c r="B54" i="3"/>
  <c r="B53" i="5"/>
  <c r="C7" i="23" l="1"/>
  <c r="B58" i="3"/>
  <c r="B60" i="3" s="1"/>
  <c r="B52" i="3"/>
  <c r="B25" i="3"/>
  <c r="B26" i="3" s="1"/>
  <c r="C56" i="13"/>
  <c r="D55" i="13"/>
  <c r="D184" i="13"/>
  <c r="C185" i="13"/>
  <c r="B54" i="2"/>
  <c r="C55" i="2"/>
  <c r="F10" i="2"/>
  <c r="E8" i="2"/>
  <c r="C104" i="13"/>
  <c r="E103" i="13"/>
  <c r="D103" i="13"/>
  <c r="F47" i="2"/>
  <c r="E46" i="2"/>
  <c r="C11" i="2"/>
  <c r="B10" i="2"/>
  <c r="D220" i="13"/>
  <c r="C221" i="13"/>
  <c r="B26" i="5"/>
  <c r="G33" i="23" s="1"/>
  <c r="B65" i="5"/>
  <c r="F7" i="23" l="1"/>
  <c r="G7" i="23" s="1"/>
  <c r="B27" i="3"/>
  <c r="B30" i="3" s="1"/>
  <c r="K73" i="1" s="1"/>
  <c r="O83" i="23"/>
  <c r="L109" i="23"/>
  <c r="B64" i="3"/>
  <c r="E47" i="2"/>
  <c r="F48" i="2"/>
  <c r="C186" i="13"/>
  <c r="D185" i="13"/>
  <c r="E9" i="2"/>
  <c r="F11" i="2"/>
  <c r="B11" i="2"/>
  <c r="C12" i="2"/>
  <c r="B55" i="2"/>
  <c r="C56" i="2"/>
  <c r="C222" i="13"/>
  <c r="D221" i="13"/>
  <c r="C105" i="13"/>
  <c r="D104" i="13"/>
  <c r="E104" i="13"/>
  <c r="C57" i="13"/>
  <c r="D56" i="13"/>
  <c r="B27" i="5"/>
  <c r="B30" i="5" s="1"/>
  <c r="C5" i="23" l="1"/>
  <c r="O109" i="23"/>
  <c r="P109" i="23" s="1"/>
  <c r="B43" i="3"/>
  <c r="L107" i="23"/>
  <c r="D57" i="13"/>
  <c r="C58" i="13"/>
  <c r="C187" i="13"/>
  <c r="D186" i="13"/>
  <c r="D222" i="13"/>
  <c r="C223" i="13"/>
  <c r="B56" i="2"/>
  <c r="C57" i="2"/>
  <c r="E10" i="2"/>
  <c r="F12" i="2"/>
  <c r="E48" i="2"/>
  <c r="F49" i="2"/>
  <c r="B12" i="2"/>
  <c r="C13" i="2"/>
  <c r="E105" i="13"/>
  <c r="C106" i="13"/>
  <c r="D105" i="13"/>
  <c r="K74" i="1"/>
  <c r="B43" i="5"/>
  <c r="F5" i="23" l="1"/>
  <c r="G5" i="23" s="1"/>
  <c r="O107" i="23"/>
  <c r="P107" i="23" s="1"/>
  <c r="C107" i="13"/>
  <c r="E106" i="13"/>
  <c r="D106" i="13"/>
  <c r="F50" i="2"/>
  <c r="E49" i="2"/>
  <c r="B57" i="2"/>
  <c r="C58" i="2"/>
  <c r="C188" i="13"/>
  <c r="D187" i="13"/>
  <c r="C14" i="2"/>
  <c r="B13" i="2"/>
  <c r="F13" i="2"/>
  <c r="E11" i="2"/>
  <c r="C224" i="13"/>
  <c r="D223" i="13"/>
  <c r="C61" i="13"/>
  <c r="C64" i="13" s="1"/>
  <c r="D58" i="13"/>
  <c r="E50" i="2" l="1"/>
  <c r="F51" i="2"/>
  <c r="C59" i="2"/>
  <c r="B58" i="2"/>
  <c r="C189" i="13"/>
  <c r="D188" i="13"/>
  <c r="C225" i="13"/>
  <c r="D224" i="13"/>
  <c r="B14" i="2"/>
  <c r="C15" i="2"/>
  <c r="D64" i="13"/>
  <c r="C65" i="13"/>
  <c r="F14" i="2"/>
  <c r="E12" i="2"/>
  <c r="C108" i="13"/>
  <c r="E107" i="13"/>
  <c r="D107" i="13"/>
  <c r="C60" i="2" l="1"/>
  <c r="B59" i="2"/>
  <c r="E108" i="13"/>
  <c r="C109" i="13"/>
  <c r="D108" i="13"/>
  <c r="D225" i="13"/>
  <c r="C226" i="13"/>
  <c r="B15" i="2"/>
  <c r="C16" i="2"/>
  <c r="F52" i="2"/>
  <c r="E51" i="2"/>
  <c r="C66" i="13"/>
  <c r="D65" i="13"/>
  <c r="F15" i="2"/>
  <c r="E13" i="2"/>
  <c r="C190" i="13"/>
  <c r="D189" i="13"/>
  <c r="C227" i="13" l="1"/>
  <c r="D226" i="13"/>
  <c r="D190" i="13"/>
  <c r="C191" i="13"/>
  <c r="D66" i="13"/>
  <c r="C67" i="13"/>
  <c r="F16" i="2"/>
  <c r="E14" i="2"/>
  <c r="F53" i="2"/>
  <c r="E52" i="2"/>
  <c r="C110" i="13"/>
  <c r="E109" i="13"/>
  <c r="D109" i="13"/>
  <c r="B16" i="2"/>
  <c r="C17" i="2"/>
  <c r="C61" i="2"/>
  <c r="B60" i="2"/>
  <c r="E15" i="2" l="1"/>
  <c r="F17" i="2"/>
  <c r="B61" i="2"/>
  <c r="C62" i="2"/>
  <c r="D191" i="13"/>
  <c r="C192" i="13"/>
  <c r="C68" i="13"/>
  <c r="D67" i="13"/>
  <c r="C18" i="2"/>
  <c r="B17" i="2"/>
  <c r="D110" i="13"/>
  <c r="E110" i="13"/>
  <c r="C111" i="13"/>
  <c r="F54" i="2"/>
  <c r="E53" i="2"/>
  <c r="C228" i="13"/>
  <c r="D227" i="13"/>
  <c r="C69" i="13" l="1"/>
  <c r="D68" i="13"/>
  <c r="C229" i="13"/>
  <c r="D228" i="13"/>
  <c r="C63" i="2"/>
  <c r="B62" i="2"/>
  <c r="F55" i="2"/>
  <c r="E54" i="2"/>
  <c r="D192" i="13"/>
  <c r="C193" i="13"/>
  <c r="E16" i="2"/>
  <c r="F18" i="2"/>
  <c r="D111" i="13"/>
  <c r="C112" i="13"/>
  <c r="E111" i="13"/>
  <c r="B18" i="2"/>
  <c r="C19" i="2"/>
  <c r="E17" i="2" l="1"/>
  <c r="F19" i="2"/>
  <c r="F56" i="2"/>
  <c r="E55" i="2"/>
  <c r="C230" i="13"/>
  <c r="D229" i="13"/>
  <c r="C113" i="13"/>
  <c r="D112" i="13"/>
  <c r="E112" i="13"/>
  <c r="D193" i="13"/>
  <c r="C194" i="13"/>
  <c r="B19" i="2"/>
  <c r="C20" i="2"/>
  <c r="C64" i="2"/>
  <c r="B63" i="2"/>
  <c r="C70" i="13"/>
  <c r="D69" i="13"/>
  <c r="E113" i="13" l="1"/>
  <c r="D113" i="13"/>
  <c r="C114" i="13"/>
  <c r="E56" i="2"/>
  <c r="F57" i="2"/>
  <c r="D70" i="13"/>
  <c r="C71" i="13"/>
  <c r="D194" i="13"/>
  <c r="C195" i="13"/>
  <c r="B64" i="2"/>
  <c r="C65" i="2"/>
  <c r="F20" i="2"/>
  <c r="E18" i="2"/>
  <c r="B20" i="2"/>
  <c r="C21" i="2"/>
  <c r="C231" i="13"/>
  <c r="D230" i="13"/>
  <c r="C22" i="2" l="1"/>
  <c r="B21" i="2"/>
  <c r="B65" i="2"/>
  <c r="C66" i="2"/>
  <c r="C72" i="13"/>
  <c r="D71" i="13"/>
  <c r="E114" i="13"/>
  <c r="D114" i="13"/>
  <c r="C115" i="13"/>
  <c r="D231" i="13"/>
  <c r="C232" i="13"/>
  <c r="F21" i="2"/>
  <c r="E19" i="2"/>
  <c r="D195" i="13"/>
  <c r="C196" i="13"/>
  <c r="E57" i="2"/>
  <c r="F58" i="2"/>
  <c r="F22" i="2" l="1"/>
  <c r="E20" i="2"/>
  <c r="C67" i="2"/>
  <c r="B66" i="2"/>
  <c r="D196" i="13"/>
  <c r="C197" i="13"/>
  <c r="D232" i="13"/>
  <c r="C233" i="13"/>
  <c r="E58" i="2"/>
  <c r="F59" i="2"/>
  <c r="D115" i="13"/>
  <c r="C116" i="13"/>
  <c r="E115" i="13"/>
  <c r="D72" i="13"/>
  <c r="C73" i="13"/>
  <c r="C23" i="2"/>
  <c r="B22" i="2"/>
  <c r="C24" i="2" l="1"/>
  <c r="B23" i="2"/>
  <c r="D233" i="13"/>
  <c r="C234" i="13"/>
  <c r="C68" i="2"/>
  <c r="B67" i="2"/>
  <c r="C117" i="13"/>
  <c r="D116" i="13"/>
  <c r="E116" i="13"/>
  <c r="C74" i="13"/>
  <c r="D73" i="13"/>
  <c r="E59" i="2"/>
  <c r="F60" i="2"/>
  <c r="D197" i="13"/>
  <c r="C198" i="13"/>
  <c r="F23" i="2"/>
  <c r="E21" i="2"/>
  <c r="D234" i="13" l="1"/>
  <c r="C235" i="13"/>
  <c r="D117" i="13"/>
  <c r="E117" i="13"/>
  <c r="C118" i="13"/>
  <c r="F24" i="2"/>
  <c r="E22" i="2"/>
  <c r="C199" i="13"/>
  <c r="D198" i="13"/>
  <c r="D74" i="13"/>
  <c r="C75" i="13"/>
  <c r="E60" i="2"/>
  <c r="F61" i="2"/>
  <c r="C69" i="2"/>
  <c r="B68" i="2"/>
  <c r="B24" i="2"/>
  <c r="C25" i="2"/>
  <c r="D199" i="13" l="1"/>
  <c r="C200" i="13"/>
  <c r="C76" i="13"/>
  <c r="D75" i="13"/>
  <c r="B69" i="2"/>
  <c r="C70" i="2"/>
  <c r="E23" i="2"/>
  <c r="F25" i="2"/>
  <c r="C236" i="13"/>
  <c r="D235" i="13"/>
  <c r="C26" i="2"/>
  <c r="B25" i="2"/>
  <c r="E61" i="2"/>
  <c r="F62" i="2"/>
  <c r="E118" i="13"/>
  <c r="D118" i="13"/>
  <c r="C119" i="13"/>
  <c r="D119" i="13" l="1"/>
  <c r="E119" i="13"/>
  <c r="C120" i="13"/>
  <c r="E24" i="2"/>
  <c r="F26" i="2"/>
  <c r="C27" i="2"/>
  <c r="B26" i="2"/>
  <c r="D76" i="13"/>
  <c r="C77" i="13"/>
  <c r="E62" i="2"/>
  <c r="F63" i="2"/>
  <c r="B70" i="2"/>
  <c r="C71" i="2"/>
  <c r="D200" i="13"/>
  <c r="C201" i="13"/>
  <c r="C237" i="13"/>
  <c r="D236" i="13"/>
  <c r="C238" i="13" l="1"/>
  <c r="D237" i="13"/>
  <c r="D120" i="13"/>
  <c r="E120" i="13"/>
  <c r="C121" i="13"/>
  <c r="C202" i="13"/>
  <c r="D201" i="13"/>
  <c r="C28" i="2"/>
  <c r="B27" i="2"/>
  <c r="E63" i="2"/>
  <c r="F64" i="2"/>
  <c r="C72" i="2"/>
  <c r="B71" i="2"/>
  <c r="C78" i="13"/>
  <c r="D77" i="13"/>
  <c r="F27" i="2"/>
  <c r="E25" i="2"/>
  <c r="B72" i="2" l="1"/>
  <c r="C73" i="2"/>
  <c r="E64" i="2"/>
  <c r="F65" i="2"/>
  <c r="C29" i="2"/>
  <c r="B28" i="2"/>
  <c r="C203" i="13"/>
  <c r="D202" i="13"/>
  <c r="F28" i="2"/>
  <c r="E26" i="2"/>
  <c r="C79" i="13"/>
  <c r="D78" i="13"/>
  <c r="D121" i="13"/>
  <c r="E121" i="13"/>
  <c r="C122" i="13"/>
  <c r="C239" i="13"/>
  <c r="D238" i="13"/>
  <c r="C80" i="13" l="1"/>
  <c r="D79" i="13"/>
  <c r="D122" i="13"/>
  <c r="E122" i="13"/>
  <c r="C123" i="13"/>
  <c r="C204" i="13"/>
  <c r="D203" i="13"/>
  <c r="C74" i="2"/>
  <c r="B73" i="2"/>
  <c r="D239" i="13"/>
  <c r="C240" i="13"/>
  <c r="E65" i="2"/>
  <c r="F66" i="2"/>
  <c r="E27" i="2"/>
  <c r="F29" i="2"/>
  <c r="C30" i="2"/>
  <c r="B29" i="2"/>
  <c r="C241" i="13" l="1"/>
  <c r="D240" i="13"/>
  <c r="C31" i="2"/>
  <c r="B30" i="2"/>
  <c r="C75" i="2"/>
  <c r="B74" i="2"/>
  <c r="F30" i="2"/>
  <c r="E28" i="2"/>
  <c r="C205" i="13"/>
  <c r="D204" i="13"/>
  <c r="F67" i="2"/>
  <c r="E66" i="2"/>
  <c r="E123" i="13"/>
  <c r="C124" i="13"/>
  <c r="D123" i="13"/>
  <c r="D80" i="13"/>
  <c r="C83" i="13"/>
  <c r="C86" i="13" s="1"/>
  <c r="E67" i="2" l="1"/>
  <c r="F68" i="2"/>
  <c r="F31" i="2"/>
  <c r="E29" i="2"/>
  <c r="B31" i="2"/>
  <c r="C32" i="2"/>
  <c r="D124" i="13"/>
  <c r="C125" i="13"/>
  <c r="E124" i="13"/>
  <c r="D86" i="13"/>
  <c r="C87" i="13"/>
  <c r="C206" i="13"/>
  <c r="D205" i="13"/>
  <c r="C76" i="2"/>
  <c r="B75" i="2"/>
  <c r="D241" i="13"/>
  <c r="C242" i="13"/>
  <c r="D87" i="13" l="1"/>
  <c r="C88" i="13"/>
  <c r="E30" i="2"/>
  <c r="F32" i="2"/>
  <c r="C77" i="2"/>
  <c r="B76" i="2"/>
  <c r="C33" i="2"/>
  <c r="B32" i="2"/>
  <c r="F69" i="2"/>
  <c r="E68" i="2"/>
  <c r="C207" i="13"/>
  <c r="D206" i="13"/>
  <c r="D125" i="13"/>
  <c r="E125" i="13"/>
  <c r="C126" i="13"/>
  <c r="D242" i="13"/>
  <c r="C243" i="13"/>
  <c r="C208" i="13" l="1"/>
  <c r="D207" i="13"/>
  <c r="F33" i="2"/>
  <c r="E31" i="2"/>
  <c r="C34" i="2"/>
  <c r="B33" i="2"/>
  <c r="C89" i="13"/>
  <c r="D88" i="13"/>
  <c r="D126" i="13"/>
  <c r="E126" i="13"/>
  <c r="C127" i="13"/>
  <c r="D243" i="13"/>
  <c r="C244" i="13"/>
  <c r="F70" i="2"/>
  <c r="E69" i="2"/>
  <c r="B77" i="2"/>
  <c r="C78" i="2"/>
  <c r="C128" i="13" l="1"/>
  <c r="D127" i="13"/>
  <c r="E127" i="13"/>
  <c r="F34" i="2"/>
  <c r="E32" i="2"/>
  <c r="D89" i="13"/>
  <c r="C90" i="13"/>
  <c r="E70" i="2"/>
  <c r="F71" i="2"/>
  <c r="C79" i="2"/>
  <c r="B79" i="2" s="1"/>
  <c r="B78" i="2"/>
  <c r="C245" i="13"/>
  <c r="D244" i="13"/>
  <c r="C35" i="2"/>
  <c r="B34" i="2"/>
  <c r="C209" i="13"/>
  <c r="D208" i="13"/>
  <c r="C246" i="13" l="1"/>
  <c r="D245" i="13"/>
  <c r="C91" i="13"/>
  <c r="D90" i="13"/>
  <c r="C210" i="13"/>
  <c r="D209" i="13"/>
  <c r="E33" i="2"/>
  <c r="F35" i="2"/>
  <c r="B35" i="2"/>
  <c r="C36" i="2"/>
  <c r="F72" i="2"/>
  <c r="E71" i="2"/>
  <c r="E128" i="13"/>
  <c r="D128" i="13"/>
  <c r="C129" i="13"/>
  <c r="D91" i="13" l="1"/>
  <c r="C92" i="13"/>
  <c r="E34" i="2"/>
  <c r="F36" i="2"/>
  <c r="C130" i="13"/>
  <c r="D129" i="13"/>
  <c r="E129" i="13"/>
  <c r="F73" i="2"/>
  <c r="E72" i="2"/>
  <c r="B36" i="2"/>
  <c r="C37" i="2"/>
  <c r="C211" i="13"/>
  <c r="D210" i="13"/>
  <c r="C247" i="13"/>
  <c r="D246" i="13"/>
  <c r="C212" i="13" l="1"/>
  <c r="D211" i="13"/>
  <c r="F37" i="2"/>
  <c r="E35" i="2"/>
  <c r="B37" i="2"/>
  <c r="C38" i="2"/>
  <c r="C248" i="13"/>
  <c r="D247" i="13"/>
  <c r="C93" i="13"/>
  <c r="D92" i="13"/>
  <c r="E73" i="2"/>
  <c r="F74" i="2"/>
  <c r="D130" i="13"/>
  <c r="E130" i="13"/>
  <c r="C131" i="13"/>
  <c r="F75" i="2" l="1"/>
  <c r="E74" i="2"/>
  <c r="E36" i="2"/>
  <c r="F38" i="2"/>
  <c r="C39" i="2"/>
  <c r="B38" i="2"/>
  <c r="C132" i="13"/>
  <c r="D131" i="13"/>
  <c r="E131" i="13"/>
  <c r="C249" i="13"/>
  <c r="D248" i="13"/>
  <c r="C94" i="13"/>
  <c r="D94" i="13" s="1"/>
  <c r="D93" i="13"/>
  <c r="C250" i="13" l="1"/>
  <c r="D249" i="13"/>
  <c r="F39" i="2"/>
  <c r="E37" i="2"/>
  <c r="E132" i="13"/>
  <c r="C133" i="13"/>
  <c r="D132" i="13"/>
  <c r="B39" i="2"/>
  <c r="C40" i="2"/>
  <c r="B40" i="2" s="1"/>
  <c r="E75" i="2"/>
  <c r="F76" i="2"/>
  <c r="F77" i="2" l="1"/>
  <c r="E76" i="2"/>
  <c r="E38" i="2"/>
  <c r="F40" i="2"/>
  <c r="E39" i="2" s="1"/>
  <c r="E133" i="13"/>
  <c r="C134" i="13"/>
  <c r="D133" i="13"/>
  <c r="C251" i="13"/>
  <c r="D250" i="13"/>
  <c r="E134" i="13" l="1"/>
  <c r="C135" i="13"/>
  <c r="D134" i="13"/>
  <c r="C252" i="13"/>
  <c r="D251" i="13"/>
  <c r="F78" i="2"/>
  <c r="E77" i="2"/>
  <c r="E78" i="2" l="1"/>
  <c r="F79" i="2"/>
  <c r="E79" i="2" s="1"/>
  <c r="E135" i="13"/>
  <c r="C136" i="13"/>
  <c r="D135" i="13"/>
  <c r="C253" i="13"/>
  <c r="C254" i="13" s="1"/>
  <c r="C255" i="13" s="1"/>
  <c r="C256" i="13" s="1"/>
  <c r="C257" i="13" s="1"/>
  <c r="C258" i="13" s="1"/>
  <c r="C259" i="13" s="1"/>
  <c r="C260" i="13" s="1"/>
  <c r="C261" i="13" s="1"/>
  <c r="C262" i="13" s="1"/>
  <c r="C263" i="13" s="1"/>
  <c r="C264" i="13" s="1"/>
  <c r="C265" i="13" s="1"/>
  <c r="C266" i="13" s="1"/>
  <c r="C267" i="13" s="1"/>
  <c r="C268" i="13" s="1"/>
  <c r="C269" i="13" s="1"/>
  <c r="C270" i="13" s="1"/>
  <c r="C271" i="13" s="1"/>
  <c r="C272" i="13" s="1"/>
  <c r="C273" i="13" s="1"/>
  <c r="C274" i="13" s="1"/>
  <c r="C275" i="13" s="1"/>
  <c r="C276" i="13" s="1"/>
  <c r="C277" i="13" s="1"/>
  <c r="C278" i="13" s="1"/>
  <c r="C279" i="13" s="1"/>
  <c r="C280" i="13" s="1"/>
  <c r="C281" i="13" s="1"/>
  <c r="C282" i="13" s="1"/>
  <c r="C283" i="13" s="1"/>
  <c r="C284" i="13" s="1"/>
  <c r="C285" i="13" s="1"/>
  <c r="C286" i="13" s="1"/>
  <c r="C287" i="13" s="1"/>
  <c r="D252" i="13"/>
  <c r="D136" i="13" l="1"/>
  <c r="C137" i="13"/>
  <c r="E136" i="13"/>
  <c r="E137" i="13" l="1"/>
  <c r="D137" i="13"/>
  <c r="C138" i="13"/>
  <c r="D138" i="13" l="1"/>
  <c r="C139" i="13"/>
  <c r="E138" i="13"/>
  <c r="E139" i="13" l="1"/>
  <c r="D139" i="13"/>
  <c r="C140" i="13"/>
  <c r="E140" i="13" l="1"/>
  <c r="D140" i="13"/>
  <c r="C141" i="13"/>
  <c r="C142" i="13" l="1"/>
  <c r="E141" i="13"/>
  <c r="D141" i="13"/>
  <c r="D142" i="13" l="1"/>
  <c r="C143" i="13"/>
  <c r="E142" i="13"/>
  <c r="E143" i="13" l="1"/>
  <c r="D143" i="13"/>
  <c r="C144" i="13"/>
  <c r="E144" i="13" l="1"/>
  <c r="D144" i="13"/>
  <c r="C145" i="13"/>
  <c r="C146" i="13" l="1"/>
  <c r="E145" i="13"/>
  <c r="D145" i="13"/>
  <c r="D146" i="13" l="1"/>
  <c r="C147" i="13"/>
  <c r="E146" i="13"/>
  <c r="E147" i="13" l="1"/>
  <c r="D147" i="13"/>
  <c r="C148" i="13"/>
  <c r="E148" i="13" l="1"/>
  <c r="D148" i="13"/>
  <c r="C149" i="13"/>
  <c r="C150" i="13" l="1"/>
  <c r="E149" i="13"/>
  <c r="D149" i="13"/>
  <c r="D150" i="13" l="1"/>
  <c r="C151" i="13"/>
  <c r="E150" i="13"/>
  <c r="E151" i="13" l="1"/>
  <c r="D151" i="13"/>
  <c r="C152" i="13"/>
  <c r="E152" i="13" l="1"/>
  <c r="D152" i="13"/>
  <c r="C153" i="13"/>
  <c r="C154" i="13" l="1"/>
  <c r="E153" i="13"/>
  <c r="D153" i="13"/>
  <c r="D154" i="13" l="1"/>
  <c r="C155" i="13"/>
  <c r="E154" i="13"/>
  <c r="E155" i="13" l="1"/>
  <c r="D155" i="13"/>
  <c r="C156" i="13"/>
  <c r="E156" i="13" l="1"/>
  <c r="D156" i="13"/>
  <c r="C157" i="13"/>
  <c r="C158" i="13" l="1"/>
  <c r="E157" i="13"/>
  <c r="D157" i="13"/>
  <c r="D158" i="13" l="1"/>
  <c r="C159" i="13"/>
  <c r="E158" i="13"/>
  <c r="E159" i="13" l="1"/>
  <c r="D159" i="13"/>
  <c r="C160" i="13"/>
  <c r="E160" i="13" l="1"/>
  <c r="D160" i="13"/>
  <c r="C161" i="13"/>
  <c r="C162" i="13" l="1"/>
  <c r="E161" i="13"/>
  <c r="D161" i="13"/>
  <c r="D162" i="13" l="1"/>
  <c r="C163" i="13"/>
  <c r="E162" i="13"/>
  <c r="E163" i="13" l="1"/>
  <c r="D163" i="13"/>
  <c r="C164" i="13"/>
  <c r="E164" i="13" l="1"/>
  <c r="D164" i="13"/>
  <c r="C165" i="13"/>
  <c r="C166" i="13" l="1"/>
  <c r="E165" i="13"/>
  <c r="D165" i="13"/>
  <c r="D166" i="13" l="1"/>
  <c r="C167" i="13"/>
  <c r="E166" i="13"/>
  <c r="E167" i="13" l="1"/>
  <c r="D167" i="13"/>
  <c r="C168" i="13"/>
  <c r="E168" i="13" l="1"/>
  <c r="D168" i="13"/>
  <c r="C169" i="13"/>
  <c r="C170" i="13" l="1"/>
  <c r="E169" i="13"/>
  <c r="D169" i="13"/>
  <c r="D170" i="13" l="1"/>
  <c r="E170" i="1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6" authorId="0" shapeId="0" xr:uid="{00000000-0006-0000-0000-000001000000}">
      <text>
        <r>
          <rPr>
            <sz val="8"/>
            <color indexed="81"/>
            <rFont val="Tahoma"/>
            <family val="2"/>
          </rPr>
          <t xml:space="preserve">
</t>
        </r>
        <r>
          <rPr>
            <sz val="10"/>
            <color indexed="81"/>
            <rFont val="Tahoma"/>
            <family val="2"/>
          </rPr>
          <t xml:space="preserve">It is intended that this Link Model can be used as a formal part of the documentation of your satellite program.  The "Title Page" Worksheet (W/S)  of this Excel Workbook is the means by which this is carried out.  If you are using the model in this capacity it becomes important to be able to track changes.  You will find that many versions of the model will be generated as new designs arise and old ones are modified.  This W/S is intended to contain sufficient information to allow the project personnel to clearly identify which version of the workbook you are using at the time.  Of course, self discipline is always important in documenting software.
First, it should be noted that NONE of the cells in this workbook are protected.  So, anything can be changed (or unintentionally erased).  So, the very first thing you should do is make several copies of this model so that there is always a master copy available.  That version should not be changed from the state in which you receive it.  Only use it to make more copies.  The development of this system uses a few basic principles involving the use of color.  These will be explained in detail in the next W/S.  The basics, however, need to be explained in this note.  
1) </t>
        </r>
        <r>
          <rPr>
            <sz val="10"/>
            <color indexed="10"/>
            <rFont val="Tahoma"/>
            <family val="2"/>
          </rPr>
          <t>RED</t>
        </r>
        <r>
          <rPr>
            <sz val="10"/>
            <color indexed="81"/>
            <rFont val="Tahoma"/>
            <family val="2"/>
          </rPr>
          <t xml:space="preserve"> text on a YELLOW background is intended to draw your attention to important cells -usually results and titles.  They are not to be modified, except on this sheet, University name and Project name should be modified the first time you use it.  This need only be done on this W/S as these cells will be copied, as appropriate, to the other W/S of the model.  If your project is not associated with a university then, of course you can simply modify the header of this W/S accordingly BUT, don't change the cell numbers into which you place your data or the names will not be propagated into the rest of the model correctly.
2) BLACK text should never be modified.  Black text is either used for labels or </t>
        </r>
        <r>
          <rPr>
            <b/>
            <sz val="10"/>
            <color indexed="81"/>
            <rFont val="Tahoma"/>
            <family val="2"/>
          </rPr>
          <t>contains formulas</t>
        </r>
        <r>
          <rPr>
            <sz val="10"/>
            <color indexed="81"/>
            <rFont val="Tahoma"/>
            <family val="2"/>
          </rPr>
          <t xml:space="preserve">.  Modification of black text will result in the loss of the formula once you hit "Enter."   That's not good.
3) Cells with </t>
        </r>
        <r>
          <rPr>
            <sz val="10"/>
            <color indexed="12"/>
            <rFont val="Tahoma"/>
            <family val="2"/>
          </rPr>
          <t>BLUE</t>
        </r>
        <r>
          <rPr>
            <sz val="10"/>
            <color indexed="81"/>
            <rFont val="Tahoma"/>
            <family val="2"/>
          </rPr>
          <t xml:space="preserve"> text are intended for link model operator (that's you) modification.  If the cell has a blue background, that means it is critical that you enter the correct data for your spacecraft or ground station into that cell.
</t>
        </r>
      </text>
    </comment>
    <comment ref="K6" authorId="0" shapeId="0" xr:uid="{00000000-0006-0000-0000-000002000000}">
      <text>
        <r>
          <rPr>
            <sz val="8"/>
            <color indexed="81"/>
            <rFont val="Tahoma"/>
            <family val="2"/>
          </rPr>
          <t xml:space="preserve">
</t>
        </r>
        <r>
          <rPr>
            <b/>
            <sz val="10"/>
            <color indexed="81"/>
            <rFont val="Tahoma"/>
            <family val="2"/>
          </rPr>
          <t xml:space="preserve">Approvals:  </t>
        </r>
        <r>
          <rPr>
            <sz val="10"/>
            <color indexed="81"/>
            <rFont val="Tahoma"/>
            <family val="2"/>
          </rPr>
          <t>If the project is under formal control and this document is used within your documentation system, then the approval boxes below should be used.  In the approval process, when appropriate, each responsible project person should review this workbook and then approve it by placing a capital "X" in the cell associated with their function.  Upon ENTER the cell will change from RED to GREEN.  Once all approvals have been granted,  the "document released" indicator will be enabled.</t>
        </r>
      </text>
    </comment>
    <comment ref="B9" authorId="0" shapeId="0" xr:uid="{00000000-0006-0000-0000-000003000000}">
      <text>
        <r>
          <rPr>
            <sz val="8"/>
            <color indexed="81"/>
            <rFont val="Tahoma"/>
            <family val="2"/>
          </rPr>
          <t xml:space="preserve">
</t>
        </r>
        <r>
          <rPr>
            <b/>
            <sz val="10"/>
            <color indexed="81"/>
            <rFont val="Tahoma"/>
            <family val="2"/>
          </rPr>
          <t>Communication System Engineer:</t>
        </r>
        <r>
          <rPr>
            <sz val="10"/>
            <color indexed="81"/>
            <rFont val="Tahoma"/>
            <family val="2"/>
          </rPr>
          <t xml:space="preserve">  This cell should be modified to incorporate the name of the person acting as the communications engineer for your project. 
</t>
        </r>
        <r>
          <rPr>
            <b/>
            <sz val="10"/>
            <color indexed="81"/>
            <rFont val="Tahoma"/>
            <family val="2"/>
          </rPr>
          <t xml:space="preserve">Project Manager:  </t>
        </r>
        <r>
          <rPr>
            <sz val="10"/>
            <color indexed="81"/>
            <rFont val="Tahoma"/>
            <family val="2"/>
          </rPr>
          <t>This cell should be modified to incorporate the head of the project and the person who will have final authority for the validity of all documents associated with your program.</t>
        </r>
      </text>
    </comment>
    <comment ref="B13" authorId="0" shapeId="0" xr:uid="{00000000-0006-0000-0000-000004000000}">
      <text>
        <r>
          <rPr>
            <sz val="8"/>
            <color indexed="81"/>
            <rFont val="Tahoma"/>
            <family val="2"/>
          </rPr>
          <t xml:space="preserve">
</t>
        </r>
        <r>
          <rPr>
            <b/>
            <sz val="10"/>
            <color indexed="81"/>
            <rFont val="Tahoma"/>
            <family val="2"/>
          </rPr>
          <t xml:space="preserve">Orbit Type:  </t>
        </r>
        <r>
          <rPr>
            <sz val="10"/>
            <color indexed="81"/>
            <rFont val="Tahoma"/>
            <family val="2"/>
          </rPr>
          <t>Modify this area to include a very brief but, accurate description of your orbit on just the first line of this box.  If the orbit changes you should modify this cell.  Also note that the date in Cell [F13] is not linked to any of the data in the "Orbit &amp; Frequency" W/S so, if you change data in that W/S you should change this summary as well.  That must be done manually.  Cell [F14] is linked to the "Orbit &amp; Frequency" W/S and provides feedback as to wheter a LEO, HEO or GEO orbit has been selected.  The choice is made in the "Orbit &amp; Frequency" W/S at Cell [C3].</t>
        </r>
      </text>
    </comment>
    <comment ref="B16" authorId="0" shapeId="0" xr:uid="{00000000-0006-0000-0000-000005000000}">
      <text>
        <r>
          <rPr>
            <sz val="8"/>
            <color indexed="81"/>
            <rFont val="Tahoma"/>
            <family val="2"/>
          </rPr>
          <t xml:space="preserve">
</t>
        </r>
        <r>
          <rPr>
            <b/>
            <sz val="10"/>
            <color indexed="81"/>
            <rFont val="Tahoma"/>
            <family val="2"/>
          </rPr>
          <t>Model Under Investigation:</t>
        </r>
        <r>
          <rPr>
            <sz val="10"/>
            <color indexed="81"/>
            <rFont val="Tahoma"/>
            <family val="2"/>
          </rPr>
          <t xml:space="preserve">  In this cell you should describe the basic characteristics of the spacecraft, it's properties or it's frequency that are unique to this particular CASE you are evaluating.  Update this cell every time you want to run a new CASE but be careful not to save this on top of the filename you used for the old case.   </t>
        </r>
      </text>
    </comment>
    <comment ref="B20" authorId="0" shapeId="0" xr:uid="{00000000-0006-0000-0000-000006000000}">
      <text>
        <r>
          <rPr>
            <sz val="8"/>
            <color indexed="81"/>
            <rFont val="Tahoma"/>
            <family val="2"/>
          </rPr>
          <t xml:space="preserve">
</t>
        </r>
        <r>
          <rPr>
            <b/>
            <sz val="10"/>
            <color indexed="81"/>
            <rFont val="Tahoma"/>
            <family val="2"/>
          </rPr>
          <t xml:space="preserve">Model/ Case No., Rev No.:  </t>
        </r>
        <r>
          <rPr>
            <sz val="10"/>
            <color indexed="81"/>
            <rFont val="Tahoma"/>
            <family val="2"/>
          </rPr>
          <t>You are encouraged here to invent a file naming/numbering system that is appropriate for your project.  Hopefully this model will be one of the documents you will use.  It should be given a document number consistent with that system and with your project drawing tree.  IMPORTANT:  Somewhere within this name should be the exact filename which you will use when you SAVE this particular version of the link model.  So before you hit the "SAVE" or "SAVE AS" key the last time, make sure you have modified this cell to include that same name.
If your project has a documentation specialist or someone responsible for project configuration and control, that person should complete this box.  If the link model has entered a formal phase then, once the model is deemed correct and accurate, that person should also check the box at Cell [I20].</t>
        </r>
      </text>
    </comment>
    <comment ref="B25" authorId="0" shapeId="0" xr:uid="{00000000-0006-0000-0000-000007000000}">
      <text>
        <r>
          <rPr>
            <sz val="8"/>
            <color indexed="81"/>
            <rFont val="Tahoma"/>
            <family val="2"/>
          </rPr>
          <t xml:space="preserve">
</t>
        </r>
        <r>
          <rPr>
            <b/>
            <sz val="10"/>
            <color indexed="81"/>
            <rFont val="Tahoma"/>
            <family val="2"/>
          </rPr>
          <t xml:space="preserve">Date Date Last Modified:  </t>
        </r>
        <r>
          <rPr>
            <sz val="10"/>
            <color indexed="81"/>
            <rFont val="Tahoma"/>
            <family val="2"/>
          </rPr>
          <t xml:space="preserve">Update this date whenever you SAVE the W/S if you have modified any of the BLUE cells.
</t>
        </r>
        <r>
          <rPr>
            <b/>
            <sz val="10"/>
            <color indexed="81"/>
            <rFont val="Tahoma"/>
            <family val="2"/>
          </rPr>
          <t xml:space="preserve">Date W/S Formulas Last Modified:  </t>
        </r>
        <r>
          <rPr>
            <sz val="10"/>
            <color indexed="81"/>
            <rFont val="Tahoma"/>
            <family val="2"/>
          </rPr>
          <t>If you choose to modify any of the formulas to improve upon this link model then modify the date in this      cell consistent with the date of the change.  This will keep you from confusing old and new versions of the link model.  Clearly, once the project is under "formal" configuration control (e.g., after CDR) the formulas should not be changed.</t>
        </r>
        <r>
          <rPr>
            <sz val="8"/>
            <color indexed="81"/>
            <rFont val="Tahoma"/>
            <family val="2"/>
          </rPr>
          <t xml:space="preserve">
</t>
        </r>
      </text>
    </comment>
    <comment ref="K26" authorId="0" shapeId="0" xr:uid="{00000000-0006-0000-0000-000008000000}">
      <text>
        <r>
          <rPr>
            <sz val="10"/>
            <color indexed="81"/>
            <rFont val="Tahoma"/>
            <family val="2"/>
          </rPr>
          <t xml:space="preserve">
After entering all data, including Approvals, proceed to the "</t>
        </r>
        <r>
          <rPr>
            <b/>
            <sz val="10"/>
            <color indexed="81"/>
            <rFont val="Tahoma"/>
            <family val="2"/>
          </rPr>
          <t>I.I.R.R</t>
        </r>
        <r>
          <rPr>
            <sz val="10"/>
            <color indexed="81"/>
            <rFont val="Tahoma"/>
            <family val="2"/>
          </rPr>
          <t xml:space="preserve">." W/S and then the "Orbit &amp; Frequency" W/S.
</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 xml:space="preserve"> </author>
    <author>customer</author>
  </authors>
  <commentList>
    <comment ref="F21" authorId="0" shapeId="0" xr:uid="{00000000-0006-0000-0900-000001000000}">
      <text>
        <r>
          <rPr>
            <sz val="8"/>
            <color indexed="81"/>
            <rFont val="Tahoma"/>
            <family val="2"/>
          </rPr>
          <t xml:space="preserve">
For this version of this link model the Link Model Operator must manually change the Minimum Elevation Angle.  This parameter is used for the uplink and the downlink atmospheric losses.  So, for now, the uplink elevation angle and the downlink elevation angle must be the same.
I am working on a better version of the model that will independently calculate both the uplink and downlink Atmospheric Losses for different orbits and for transponders as well as TTC links.  But, that version isn't ready yet.</t>
        </r>
      </text>
    </comment>
    <comment ref="C35" authorId="1" shapeId="0" xr:uid="{00000000-0006-0000-0900-000002000000}">
      <text>
        <r>
          <rPr>
            <sz val="10"/>
            <color indexed="81"/>
            <rFont val="Tahoma"/>
            <family val="2"/>
          </rPr>
          <t xml:space="preserve">
This is a link model operator selected value.  The value is chosen in the Orbit and Frequency W/S at Cell [C34].</t>
        </r>
        <r>
          <rPr>
            <sz val="8"/>
            <color indexed="81"/>
            <rFont val="Tahoma"/>
            <family val="2"/>
          </rPr>
          <t xml:space="preserve">
</t>
        </r>
      </text>
    </comment>
    <comment ref="C48" authorId="1" shapeId="0" xr:uid="{00000000-0006-0000-0900-000003000000}">
      <text>
        <r>
          <rPr>
            <sz val="8"/>
            <color indexed="81"/>
            <rFont val="Tahoma"/>
            <family val="2"/>
          </rPr>
          <t xml:space="preserve">
</t>
        </r>
        <r>
          <rPr>
            <sz val="10"/>
            <color indexed="81"/>
            <rFont val="Tahoma"/>
            <family val="2"/>
          </rPr>
          <t>This is a link model operator selected value.  The value is chosen in the Orbit and Frequency W/S at Cell [C40].</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2" authorId="0" shapeId="0" xr:uid="{00000000-0006-0000-0A00-000001000000}">
      <text>
        <r>
          <rPr>
            <sz val="8"/>
            <color indexed="81"/>
            <rFont val="Tahoma"/>
            <family val="2"/>
          </rPr>
          <t xml:space="preserve">
</t>
        </r>
        <r>
          <rPr>
            <sz val="10"/>
            <color indexed="81"/>
            <rFont val="Tahoma"/>
            <family val="2"/>
          </rPr>
          <t xml:space="preserve">Finally, we have arrived at the last point in the link:  the demodulator/decoder portion of the receiver.  The demodulator will extract the data from a modulated signal and deliver it to either a FEC (forward error correction) decoding device (or piece of software) or directly to the ground station computer.  The FEC decoder, if one is used, will remove errors from the data using extra bits that are inserted, either into each byte or into a new form of "frame" (array or data block).  
Listed in the two tables below (one used for the uplink and the other for the downlink) are various forms of modulation typically used in spacecraft telemetry and command systems.  They are listed from the simplest (and poorest performing) type to the most complex (and best performing type).  The options selectable are:  Audio Frequecy Shift Keying on an FM Carrier, A special form of Frequency Shift Keying developed by Mr. James Miller - G3RUH, Non-Coherently Demodulated Frequency Shift Keying, Gaussian Minimum Shift Keying, Binary Phase Shift Keying and Quadriphase Phase Shift Keying.  You should refer to standard Communicaitons text books in order to investigate and understand the properties of these options. 
Also listed are the type of FEC decoding to be used.  Most of the options show no coding being used.  However, pairing an efficient modulation method such as BPSK with an FEC decoder provides HUGE advantages in terms of link performance.  Convolutional coding operates at the byte level and additional bits are added to each </t>
        </r>
        <r>
          <rPr>
            <i/>
            <sz val="10"/>
            <color indexed="81"/>
            <rFont val="Tahoma"/>
            <family val="2"/>
          </rPr>
          <t>word</t>
        </r>
        <r>
          <rPr>
            <sz val="10"/>
            <color indexed="81"/>
            <rFont val="Tahoma"/>
            <family val="2"/>
          </rPr>
          <t xml:space="preserve">.   Errors are corrected, however, on a (bit-by-bit) sequential basis.  The most popular of these methods is kown as a </t>
        </r>
        <r>
          <rPr>
            <i/>
            <sz val="10"/>
            <color indexed="81"/>
            <rFont val="Tahoma"/>
            <family val="2"/>
          </rPr>
          <t>Viterbi</t>
        </r>
        <r>
          <rPr>
            <sz val="10"/>
            <color indexed="81"/>
            <rFont val="Tahoma"/>
            <family val="2"/>
          </rPr>
          <t xml:space="preserve"> convolutional encoder/decoder system, named for Andrew Viterbi, the inventor.   Two parameters select the degree of coding.  R is the rate of the code (e.g., 1/2, 1/3, 1/6).  The rate defines how many symbols are transmitted per bit of information).  A rate 1/2 code contains two symbols of information for every bit.  The constraint length K, is the number of output symbols that are affected by a given input symbol.
Another very popular method of FEC coding is known as block coding.  The decoder operates on an entire block of data.  Extra coding bits are added to the end of the block.  The most popular of the block codes is known as Reed-Solomon after the inventors, although there are many other forms of block coding.  In RS coding, two parameters are again used (</t>
        </r>
        <r>
          <rPr>
            <i/>
            <sz val="10"/>
            <color indexed="81"/>
            <rFont val="Tahoma"/>
            <family val="2"/>
          </rPr>
          <t>n</t>
        </r>
        <r>
          <rPr>
            <sz val="10"/>
            <color indexed="81"/>
            <rFont val="Tahoma"/>
            <family val="2"/>
          </rPr>
          <t xml:space="preserve"> and</t>
        </r>
        <r>
          <rPr>
            <i/>
            <sz val="10"/>
            <color indexed="81"/>
            <rFont val="Tahoma"/>
            <family val="2"/>
          </rPr>
          <t xml:space="preserve"> k</t>
        </r>
        <r>
          <rPr>
            <sz val="10"/>
            <color indexed="81"/>
            <rFont val="Tahoma"/>
            <family val="2"/>
          </rPr>
          <t xml:space="preserve">).  The encoder codes a block of </t>
        </r>
        <r>
          <rPr>
            <i/>
            <sz val="10"/>
            <color indexed="81"/>
            <rFont val="Tahoma"/>
            <family val="2"/>
          </rPr>
          <t>n</t>
        </r>
        <r>
          <rPr>
            <sz val="10"/>
            <color indexed="81"/>
            <rFont val="Tahoma"/>
            <family val="2"/>
          </rPr>
          <t xml:space="preserve"> data information symbols (bits) into a block of </t>
        </r>
        <r>
          <rPr>
            <i/>
            <sz val="10"/>
            <color indexed="81"/>
            <rFont val="Tahoma"/>
            <family val="2"/>
          </rPr>
          <t>k</t>
        </r>
        <r>
          <rPr>
            <sz val="10"/>
            <color indexed="81"/>
            <rFont val="Tahoma"/>
            <family val="2"/>
          </rPr>
          <t xml:space="preserve"> codeword symbols.  Thus, errors are corrected at the block (or frame) level.   Both convolutional and block codes reduce the Eb/No required to achive a particular bit error rate. 
Currently, it is common to use two encoders at the transmitter in series (and two decoders in series at the receiver).  Such a process is called </t>
        </r>
        <r>
          <rPr>
            <i/>
            <sz val="10"/>
            <color indexed="81"/>
            <rFont val="Tahoma"/>
            <family val="2"/>
          </rPr>
          <t>concatenated</t>
        </r>
        <r>
          <rPr>
            <sz val="10"/>
            <color indexed="81"/>
            <rFont val="Tahoma"/>
            <family val="2"/>
          </rPr>
          <t xml:space="preserve"> coding.  Usually the first decoder will be a convolutional decoder followed by a block decoder.  This further reduces the Eb/No required at the demodulator input.   One important reason for considering the use of FEC coding is because contemporary microprocessors are fast enought to allow the decoder to be implemented entirely in software, even at moderate data rates (say up to 50,000 to 100,000 bps).  
The parameter listed in Column E is the bit error rate (B.E.R.).  It is the average number of errors that occur per bit transmitted.  Put the other way around a BER=1.00E-04 means that, on average, for every 10,000 bits transmitted one bit will be in error.  
The parmeter listed in Column F is the theoretical Eb/No required to achieve the bit error rate given in column E.  
These two tables allow the link model operator to select a modulation process and bit error rate appropriately matched to the satellite being developed.  As always there is a "User Defined" option, however, the operator must provide appropriate values for the type of modulation, the type of FEC coding used, the B.E.R. and the Eb/No Required.  
The value "Eb/No Threshold" in Cell [H5] and Cell [H32] are transferred to the "Uplink" and "Downlink" budget W/Ss.</t>
        </r>
      </text>
    </comment>
    <comment ref="B26" authorId="0" shapeId="0" xr:uid="{00000000-0006-0000-0A00-000002000000}">
      <text>
        <r>
          <rPr>
            <sz val="8"/>
            <color indexed="81"/>
            <rFont val="Tahoma"/>
            <family val="2"/>
          </rPr>
          <t xml:space="preserve">
</t>
        </r>
        <r>
          <rPr>
            <sz val="10"/>
            <color indexed="81"/>
            <rFont val="Tahoma"/>
            <family val="2"/>
          </rPr>
          <t xml:space="preserve">The demodulator hardware or software may not be perfect.  The difference between the theoretical value and the actual measured value of the Eb/No required to achieve any particular B.E.R. is known as the </t>
        </r>
        <r>
          <rPr>
            <i/>
            <sz val="10"/>
            <color indexed="81"/>
            <rFont val="Tahoma"/>
            <family val="2"/>
          </rPr>
          <t>implementation loss</t>
        </r>
        <r>
          <rPr>
            <sz val="10"/>
            <color indexed="81"/>
            <rFont val="Tahoma"/>
            <family val="2"/>
          </rPr>
          <t xml:space="preserve">.  If we add the implementation loss (usually measured for any particular design of demodulator) to the theoretical Eb/No Required we obtain a parameter, defined here as the </t>
        </r>
        <r>
          <rPr>
            <i/>
            <sz val="10"/>
            <color indexed="81"/>
            <rFont val="Tahoma"/>
            <family val="2"/>
          </rPr>
          <t>Eb/No threshold</t>
        </r>
        <r>
          <rPr>
            <sz val="10"/>
            <color indexed="81"/>
            <rFont val="Tahoma"/>
            <family val="2"/>
          </rPr>
          <t>.  If the link does not deliver an Eb/No equal to or greater than the Eb/No threshold, then the B.E.R. specification will be not be met and the link is therefore, said not to</t>
        </r>
        <r>
          <rPr>
            <i/>
            <sz val="10"/>
            <color indexed="81"/>
            <rFont val="Tahoma"/>
            <family val="2"/>
          </rPr>
          <t xml:space="preserve"> close</t>
        </r>
        <r>
          <rPr>
            <sz val="10"/>
            <color indexed="81"/>
            <rFont val="Tahoma"/>
            <family val="2"/>
          </rPr>
          <t>.
As a practical matter, some guidelines can be provided for various types of demodulators.  AFSK and G3RUH/FSK involve two subsequent "concatenated" demodulation processes.  Both of these processes are non-linear.  As such, it is mathematically difficult, given any particular hardware implementation, to theoretically define the required Eb/No.  So, for these two types of demodulator the Eb/No required is usually measured.  For these choices given in the table (Options 1 through 4) you need not assume any implementation loss (value = 0) since the values provdied in Column F are measured performance values and already include the implementation loss.  The values are average for various decoder performance results provided in the literature.  Coherent and non-coherent FSK, GMSK, BPSK and QPSK all have well known  theoretical B.E.R. vs. Eb/No requirements.  (See Figure 1 below for BPSK vs. B.E.R. theoretical performance).  If one of the Options 5-14 is selected, an implementation loss of 1.0 dB is approximately correct if the demod is implemented in hardware and a value of 0.5 dB is appropriate if a "good" software decoder is used.  For demodulator/decoder options involving FEC, one would hope that the implementation losses would be 0.5 dB or less, otherwise the performance enhancement of the FEC decoder is being wasted.  
Once you have selected the two system modulator/ demodulator options and estimated the implementation loss, move on to the "Uplink" W/S.</t>
        </r>
      </text>
    </comment>
    <comment ref="B56" authorId="0" shapeId="0" xr:uid="{00000000-0006-0000-0A00-000003000000}">
      <text>
        <r>
          <rPr>
            <sz val="8"/>
            <color indexed="81"/>
            <rFont val="Tahoma"/>
            <family val="2"/>
          </rPr>
          <t xml:space="preserve">
</t>
        </r>
        <r>
          <rPr>
            <b/>
            <sz val="8"/>
            <color indexed="81"/>
            <rFont val="Tahoma"/>
            <family val="2"/>
          </rPr>
          <t>Figure 1</t>
        </r>
        <r>
          <rPr>
            <sz val="8"/>
            <color indexed="81"/>
            <rFont val="Tahoma"/>
            <family val="2"/>
          </rPr>
          <t xml:space="preserve"> below is a plot for a BPSK system of the Eb/No achieved in the link vs. the ideal bit error rate of the system.  This is a classical plot.  BPSK is an ideal modulation method in that it can be lossless.   In fact, it is possible to actually build a </t>
        </r>
        <r>
          <rPr>
            <i/>
            <sz val="8"/>
            <color indexed="81"/>
            <rFont val="Tahoma"/>
            <family val="2"/>
          </rPr>
          <t>matched filter</t>
        </r>
        <r>
          <rPr>
            <sz val="8"/>
            <color indexed="81"/>
            <rFont val="Tahoma"/>
            <family val="2"/>
          </rPr>
          <t xml:space="preserve"> for this type of demodulator.  Without FEC coding, it is not possible to improve on this BER curve performance.  That is why BPSK is such a good choice for a telemetry system.  BPSK, however, does require more bandwidth than almost any other choice of modulator/demodulator.  So, as always, the best performance comes at a price.</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1" authorId="0" shapeId="0" xr:uid="{00000000-0006-0000-0B00-000001000000}">
      <text>
        <r>
          <rPr>
            <sz val="8"/>
            <color indexed="81"/>
            <rFont val="Tahoma"/>
            <family val="2"/>
          </rPr>
          <t xml:space="preserve">
</t>
        </r>
        <r>
          <rPr>
            <sz val="10"/>
            <color indexed="81"/>
            <rFont val="Tahoma"/>
            <family val="2"/>
          </rPr>
          <t xml:space="preserve">This is the main uplink budget.  Most of the data needed for the link has been provided in prior W/Ss.  As such, this is the final (and formal) uplink budget.  The operator must provide a few user defined values.  
-  If a high microwave or mm wave frequency is used then rain losses become important.  The formal means of estimating rain losses is a statistically based process.  It is not discussed here.  If rain losses are an issue, then the best that can be done right now is to enter the rain loss that would represent the worst case loss for (99%, 99.9% or 99.99% of the time).  These can be obtained from various communicaitons texts for your region of the world. 
-  The operator must provide the data rate to be used for the command uplink.
-  If the S/N method of analysis is to be employed, the operator must provide the pre-demodulator bandpass filter bandwidth of the  receiver.
-  If the S/N method of analysis is to be employed, the operator must provide the required S/N for the analog or digital demodulation process being used.  This should be specified against some measure of the links performance such as B.E.R. or achieve audio S/N or some signal thresholding condition.
The comments to the right are intended to help the operator understand each step taken in the link budget.  If this information is not need, in particular if you want to print the link budget, click on the "1" in the upper left hand corner of the first row of this worksheet.  Similarly if you wish to "hide" either the Eb/No method or the S/N method subtables you may click on the "1" in the upper left hand corner of the first column of this worksheet.  Alternatively, you can click on the "-" sign by the beginning of Row 47 or Row 69 to hide the data you want.  Clicking on the appropriate "2" box in the upper left hand coner of this worksheet will restore all of the data.   </t>
        </r>
        <r>
          <rPr>
            <sz val="8"/>
            <color indexed="81"/>
            <rFont val="Tahoma"/>
            <family val="2"/>
          </rPr>
          <t xml:space="preserve">
</t>
        </r>
        <r>
          <rPr>
            <sz val="10"/>
            <color indexed="81"/>
            <rFont val="Tahoma"/>
            <family val="2"/>
          </rPr>
          <t>Once you have reviewed the Uplink data, move on to the "Downlink" W/S.</t>
        </r>
      </text>
    </comment>
    <comment ref="B27" authorId="0" shapeId="0" xr:uid="{00000000-0006-0000-0B00-000002000000}">
      <text>
        <r>
          <rPr>
            <sz val="8"/>
            <color indexed="81"/>
            <rFont val="Tahoma"/>
            <family val="2"/>
          </rPr>
          <t xml:space="preserve">
</t>
        </r>
        <r>
          <rPr>
            <sz val="10"/>
            <color indexed="81"/>
            <rFont val="Tahoma"/>
            <family val="2"/>
          </rPr>
          <t>Also known as the C/No, this value is already a useful result.  It is equivalent to the signal-to-noise ratio of this link if one were to use  a 1Hz wide data filter just ahead of the receiver demodulator.  This is the filter that limits the noise entering the demodulator and passes the signal in its final form. 
This value is calculated by:
     S/No = Piso+(G/T)-K
     where:  K = Boltzman's Constant</t>
        </r>
      </text>
    </comment>
    <comment ref="B30" authorId="0" shapeId="0" xr:uid="{00000000-0006-0000-0B00-000003000000}">
      <text>
        <r>
          <rPr>
            <sz val="8"/>
            <color indexed="81"/>
            <rFont val="Tahoma"/>
            <family val="2"/>
          </rPr>
          <t xml:space="preserve">
</t>
        </r>
        <r>
          <rPr>
            <sz val="10"/>
            <color indexed="81"/>
            <rFont val="Tahoma"/>
            <family val="2"/>
          </rPr>
          <t>This is the "Energy per bit to Noise Power Density Ratio."  It is equivalent to the "Signal-to-Noise Ratio" and is the parameter of choice for digital links.  It is the measure of performance for this link.
Once the S/No is known, the Eb/No is simply calculated by:  Eb/No = S/No -10log(R)
where R = data rate.</t>
        </r>
      </text>
    </comment>
    <comment ref="B41" authorId="0" shapeId="0" xr:uid="{00000000-0006-0000-0B00-000004000000}">
      <text>
        <r>
          <rPr>
            <sz val="10"/>
            <color indexed="81"/>
            <rFont val="Tahoma"/>
            <family val="2"/>
          </rPr>
          <t xml:space="preserve">
This is the result of the Eb/No required theoretically for the modulation method selected plus any additional losses caused by imperfections in the demodulator design.  </t>
        </r>
      </text>
    </comment>
    <comment ref="B43" authorId="0" shapeId="0" xr:uid="{00000000-0006-0000-0B00-000005000000}">
      <text>
        <r>
          <rPr>
            <sz val="8"/>
            <color indexed="81"/>
            <rFont val="Tahoma"/>
            <family val="2"/>
          </rPr>
          <t xml:space="preserve">
</t>
        </r>
        <r>
          <rPr>
            <sz val="10"/>
            <color indexed="81"/>
            <rFont val="Tahoma"/>
            <family val="2"/>
          </rPr>
          <t>This is the bottom line.  This value must be &gt; 0.0 dB for the link to work or "close."  A target value should be approximately 10 dB for a low cost system, 6 dB for a professional system and 3 dB for a deep space system.</t>
        </r>
      </text>
    </comment>
    <comment ref="E47" authorId="0" shapeId="0" xr:uid="{00000000-0006-0000-0B00-000006000000}">
      <text>
        <r>
          <rPr>
            <sz val="10"/>
            <color indexed="81"/>
            <rFont val="Tahoma"/>
            <family val="2"/>
          </rPr>
          <t xml:space="preserve">
    </t>
        </r>
        <r>
          <rPr>
            <b/>
            <sz val="10"/>
            <color indexed="81"/>
            <rFont val="Tahoma"/>
            <family val="2"/>
          </rPr>
          <t>Signal to Noise Ratio (SNR or S/N)</t>
        </r>
        <r>
          <rPr>
            <sz val="10"/>
            <color indexed="81"/>
            <rFont val="Tahoma"/>
            <family val="2"/>
          </rPr>
          <t xml:space="preserve">
This is a more realistic method to use for a spacecraft command receiver.  The Eb/No method assumes the receiver uses a matched filter and assumes a spectral efficiency of 1 bps/Hz of bandwidth.  In this assumption the bandwidth in Hz is chosen eqaul to the bit rate (in bps).  As such, no excess bandwidth is assumed.  S/C receivers are typically not coherent and it is best to determine the final bandpass filter bandwidth and use it here in Cell [B57]  </t>
        </r>
        <r>
          <rPr>
            <sz val="8"/>
            <color indexed="81"/>
            <rFont val="Tahoma"/>
            <family val="2"/>
          </rPr>
          <t xml:space="preserve">
</t>
        </r>
      </text>
    </comment>
    <comment ref="H57" authorId="0" shapeId="0" xr:uid="{00000000-0006-0000-0B00-000007000000}">
      <text>
        <r>
          <rPr>
            <sz val="8"/>
            <color indexed="81"/>
            <rFont val="Tahoma"/>
            <family val="2"/>
          </rPr>
          <t xml:space="preserve">
If you are using a coherent demodulator at the spacecraft and if a coding option is selected (Uplink Options 15-18 from the "Mod-Demod Method" W/S) then make sure the Spacecraft Receiver Bandwidth chosen includes the bandwidth required for the "Symbol Rate" modulation spectrum.  For example, if Viterbi Convoutional Coding were used with R=1/2 and K=7 then the symbol rate modulation spectrum is exactly twice that which would be occupied by the data only.   The filter must be twice as wide and this means the noise seen at the demodulator is 3 dB higher.  This will result in a reduction in the Signal to Noise Ratio of 3 dB.</t>
        </r>
      </text>
    </comment>
    <comment ref="B61" authorId="0" shapeId="0" xr:uid="{00000000-0006-0000-0B00-000008000000}">
      <text>
        <r>
          <rPr>
            <sz val="8"/>
            <color indexed="81"/>
            <rFont val="Tahoma"/>
            <family val="2"/>
          </rPr>
          <t xml:space="preserve">
</t>
        </r>
        <r>
          <rPr>
            <sz val="10"/>
            <color indexed="81"/>
            <rFont val="Tahoma"/>
            <family val="2"/>
          </rPr>
          <t xml:space="preserve">This is the S/N result of this uplink.  Note that typically it will be poorer (a lower value) than the Eb/No achieved for the link.  That is because the filter bandwidth is not exactly matched to the data spectral bandwidth.  In order to assure that the data spectrum is contained within the filter and in order to account for some doppler frequency errors on the part of the uplinking ground station the filter has a bandwidth (in Hz) larger than the data rate (in bps). </t>
        </r>
      </text>
    </comment>
    <comment ref="B63" authorId="0" shapeId="0" xr:uid="{B1FBDB94-E17B-4C98-9975-6CC26D43A982}">
      <text>
        <r>
          <rPr>
            <sz val="10"/>
            <color indexed="81"/>
            <rFont val="Tahoma"/>
            <family val="2"/>
          </rPr>
          <t xml:space="preserve">
This is the result of the Eb/No required theoretically for the modulation method selected plus any additional losses caused by imperfections in the demodulator design.  </t>
        </r>
      </text>
    </comment>
    <comment ref="B65" authorId="0" shapeId="0" xr:uid="{00000000-0006-0000-0B00-000009000000}">
      <text>
        <r>
          <rPr>
            <sz val="8"/>
            <color indexed="81"/>
            <rFont val="Tahoma"/>
            <family val="2"/>
          </rPr>
          <t xml:space="preserve">
</t>
        </r>
        <r>
          <rPr>
            <sz val="10"/>
            <color indexed="81"/>
            <rFont val="Tahoma"/>
            <family val="2"/>
          </rPr>
          <t>This is the bottom line.  This value must be &gt; 0.0 dB for the link to work.  A target value should be approximately 10 dB for a low cost system, 6 dB for a professional system and 3 dB for a deep space system.</t>
        </r>
        <r>
          <rPr>
            <sz val="8"/>
            <color indexed="81"/>
            <rFont val="Tahoma"/>
            <family val="2"/>
          </rPr>
          <t xml:space="preserve">
</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1" authorId="0" shapeId="0" xr:uid="{00000000-0006-0000-0C00-000001000000}">
      <text>
        <r>
          <rPr>
            <sz val="8"/>
            <color indexed="81"/>
            <rFont val="Tahoma"/>
            <family val="2"/>
          </rPr>
          <t xml:space="preserve">
</t>
        </r>
        <r>
          <rPr>
            <sz val="10"/>
            <color indexed="81"/>
            <rFont val="Tahoma"/>
            <family val="2"/>
          </rPr>
          <t xml:space="preserve">This is the main downlink budget.  Most of the data needed for the link has been provided in prior W/Ss.  As such, this is the final (and formal) uplink budget.  The operator must provide a few user defined values.  
-  If a high microwave or mm wave frequency is used then rain losses become important.  The formal means of estimating rain losses is a statistically based process.  It is not discussed here.  If rain losses are an issue, then the best that can be done right now is to enter the rain loss that would represent the worst case loss for (99%, 99.9% or 99.99% of the time).  These can be obtained from various communicaitons texts for your region of the world. 
-  The operator must provide the data rate to be used for the telemetry downlink.
-  If the S/N method of analysis is to be employed, the operator must provide the pre-demodulator bandpass filter bandwidth of the  receiver.
-  If the S/N method of analysis is to be employed, the operator must provide the required S/N for the analog or digital demodulation process being used.  This should be specified against some measure of the links performance such as B.E.R. or achieve audio S/N or some signal thresholding condition.
The comments to the right are intended to help the operator understand each step taken in the link budget.  If this information is not need, in particular if you want to print the link budget, click on the "1" in the upper left hand corner of the first row of this worksheet.  Similarly if you wish to "hide" either the Eb/No method or the S/N method subtables you may click on the "1" in the upper left hand corner of the first column of this worksheet.  Alternatively, you can click on the "-" sign by the beginning of Row 46 or Row 67 to hide the data you want.  Clicking on the appropriate "2" box in the upper left hand coner of this worksheet will restore the data.  
Once you have reviewed the Downlink data, move on to the "System Performance W/S." </t>
        </r>
        <r>
          <rPr>
            <sz val="8"/>
            <color indexed="81"/>
            <rFont val="Tahoma"/>
            <family val="2"/>
          </rPr>
          <t xml:space="preserve">
</t>
        </r>
      </text>
    </comment>
    <comment ref="B27" authorId="0" shapeId="0" xr:uid="{00000000-0006-0000-0C00-000002000000}">
      <text>
        <r>
          <rPr>
            <sz val="10"/>
            <color indexed="81"/>
            <rFont val="Tahoma"/>
            <family val="2"/>
          </rPr>
          <t xml:space="preserve">
Also known as the C/N</t>
        </r>
        <r>
          <rPr>
            <sz val="8"/>
            <color indexed="81"/>
            <rFont val="Tahoma"/>
            <family val="2"/>
          </rPr>
          <t>o,</t>
        </r>
        <r>
          <rPr>
            <sz val="10"/>
            <color indexed="81"/>
            <rFont val="Tahoma"/>
            <family val="2"/>
          </rPr>
          <t xml:space="preserve"> this value is already a useful result.  It is equivalent to the signal-to-noise ratio of this link if one were to use  a 1Hz wide data filter just ahead of the receiver demodulator.  This is the filter that limits the noise entering the demodulator and passes the signal in its final form. </t>
        </r>
        <r>
          <rPr>
            <sz val="8"/>
            <color indexed="81"/>
            <rFont val="Tahoma"/>
            <family val="2"/>
          </rPr>
          <t xml:space="preserve">
</t>
        </r>
        <r>
          <rPr>
            <sz val="10"/>
            <color indexed="81"/>
            <rFont val="Tahoma"/>
            <family val="2"/>
          </rPr>
          <t>This value is calculated by:
     S/N</t>
        </r>
        <r>
          <rPr>
            <sz val="8"/>
            <color indexed="81"/>
            <rFont val="Tahoma"/>
            <family val="2"/>
          </rPr>
          <t>o</t>
        </r>
        <r>
          <rPr>
            <sz val="10"/>
            <color indexed="81"/>
            <rFont val="Tahoma"/>
            <family val="2"/>
          </rPr>
          <t xml:space="preserve"> = P</t>
        </r>
        <r>
          <rPr>
            <sz val="8"/>
            <color indexed="81"/>
            <rFont val="Tahoma"/>
            <family val="2"/>
          </rPr>
          <t>iso</t>
        </r>
        <r>
          <rPr>
            <sz val="10"/>
            <color indexed="81"/>
            <rFont val="Tahoma"/>
            <family val="2"/>
          </rPr>
          <t xml:space="preserve">+(G/T)-K
     where:  K = Boltzman's Constant
</t>
        </r>
      </text>
    </comment>
    <comment ref="B30" authorId="0" shapeId="0" xr:uid="{00000000-0006-0000-0C00-000003000000}">
      <text>
        <r>
          <rPr>
            <sz val="8"/>
            <color indexed="81"/>
            <rFont val="Tahoma"/>
            <family val="2"/>
          </rPr>
          <t xml:space="preserve">
</t>
        </r>
        <r>
          <rPr>
            <sz val="10"/>
            <color indexed="81"/>
            <rFont val="Tahoma"/>
            <family val="2"/>
          </rPr>
          <t>This is the "Energy per bit to Noise Power Density Ratio."  It is equivalent to the "Signal-to-Noise Ratio" and is the parameter of choice for digital links.  It is the measure of performance for this link.
Once the S/N</t>
        </r>
        <r>
          <rPr>
            <sz val="8"/>
            <color indexed="81"/>
            <rFont val="Tahoma"/>
            <family val="2"/>
          </rPr>
          <t xml:space="preserve">o is known, </t>
        </r>
        <r>
          <rPr>
            <sz val="10"/>
            <color indexed="81"/>
            <rFont val="Tahoma"/>
            <family val="2"/>
          </rPr>
          <t>the E</t>
        </r>
        <r>
          <rPr>
            <sz val="8"/>
            <color indexed="81"/>
            <rFont val="Tahoma"/>
            <family val="2"/>
          </rPr>
          <t>b</t>
        </r>
        <r>
          <rPr>
            <sz val="10"/>
            <color indexed="81"/>
            <rFont val="Tahoma"/>
            <family val="2"/>
          </rPr>
          <t>/N</t>
        </r>
        <r>
          <rPr>
            <sz val="8"/>
            <color indexed="81"/>
            <rFont val="Tahoma"/>
            <family val="2"/>
          </rPr>
          <t>o</t>
        </r>
        <r>
          <rPr>
            <sz val="10"/>
            <color indexed="81"/>
            <rFont val="Tahoma"/>
            <family val="2"/>
          </rPr>
          <t xml:space="preserve"> is simply calculated by:  E</t>
        </r>
        <r>
          <rPr>
            <sz val="8"/>
            <color indexed="81"/>
            <rFont val="Tahoma"/>
            <family val="2"/>
          </rPr>
          <t>b</t>
        </r>
        <r>
          <rPr>
            <sz val="10"/>
            <color indexed="81"/>
            <rFont val="Tahoma"/>
            <family val="2"/>
          </rPr>
          <t>/N</t>
        </r>
        <r>
          <rPr>
            <sz val="8"/>
            <color indexed="81"/>
            <rFont val="Tahoma"/>
            <family val="2"/>
          </rPr>
          <t>o</t>
        </r>
        <r>
          <rPr>
            <sz val="10"/>
            <color indexed="81"/>
            <rFont val="Tahoma"/>
            <family val="2"/>
          </rPr>
          <t xml:space="preserve"> = S/N</t>
        </r>
        <r>
          <rPr>
            <sz val="8"/>
            <color indexed="81"/>
            <rFont val="Tahoma"/>
            <family val="2"/>
          </rPr>
          <t>o</t>
        </r>
        <r>
          <rPr>
            <sz val="10"/>
            <color indexed="81"/>
            <rFont val="Tahoma"/>
            <family val="2"/>
          </rPr>
          <t xml:space="preserve"> -10log(R)
where R = data rate.
            </t>
        </r>
      </text>
    </comment>
    <comment ref="B41" authorId="0" shapeId="0" xr:uid="{00000000-0006-0000-0C00-000004000000}">
      <text>
        <r>
          <rPr>
            <sz val="10"/>
            <color indexed="81"/>
            <rFont val="Tahoma"/>
            <family val="2"/>
          </rPr>
          <t xml:space="preserve">
This is the result of the Eb/No required theoretically for the modulation method selected plus any additional losses caused by imperfections in the demodulator design.  </t>
        </r>
      </text>
    </comment>
    <comment ref="B43" authorId="0" shapeId="0" xr:uid="{00000000-0006-0000-0C00-000005000000}">
      <text>
        <r>
          <rPr>
            <sz val="8"/>
            <color indexed="81"/>
            <rFont val="Tahoma"/>
            <family val="2"/>
          </rPr>
          <t xml:space="preserve">
</t>
        </r>
        <r>
          <rPr>
            <sz val="10"/>
            <color indexed="81"/>
            <rFont val="Tahoma"/>
            <family val="2"/>
          </rPr>
          <t>This is the bottom line.  This value must be &gt; 0.0 dB for the link to work or "close."  A target value should be approximately 10 dB for a low cost system, 6 dB for a professional system and 3 dB for a deep space system.</t>
        </r>
      </text>
    </comment>
    <comment ref="H56" authorId="0" shapeId="0" xr:uid="{00000000-0006-0000-0C00-000006000000}">
      <text>
        <r>
          <rPr>
            <sz val="8"/>
            <color indexed="81"/>
            <rFont val="Tahoma"/>
            <family val="2"/>
          </rPr>
          <t xml:space="preserve">
If you are using a coherent demodulator at the spacecraft and if a coding option is selected (Downlink Options 15-19 from the "Mod-Demod Method" W/S) then make sure the Spacecraft Receiver Bandwidth chosen includes the bandwidth required for the "Symbol Rate" modulation spectrum.  For example, if Viterbi Convoutional Coding were used with R=1/2 and K=7 then the symbol rate modulation spectrum is exactly twice that which would be occupied by the data only.   The filter must be twice as wide and this means the noise seen at the demodulator is 3 dB higher.  This will result in a reduction in the Signal to Noise Ratio of 3 dB.
</t>
        </r>
      </text>
    </comment>
    <comment ref="B60" authorId="0" shapeId="0" xr:uid="{00000000-0006-0000-0C00-000007000000}">
      <text>
        <r>
          <rPr>
            <sz val="8"/>
            <color indexed="81"/>
            <rFont val="Tahoma"/>
            <family val="2"/>
          </rPr>
          <t xml:space="preserve">
</t>
        </r>
        <r>
          <rPr>
            <sz val="10"/>
            <color indexed="81"/>
            <rFont val="Tahoma"/>
            <family val="2"/>
          </rPr>
          <t>This is the S/N result of this downlink.  Note that typically it will be poorer (a lower value) than the Eb/No achieved for the link.  That is because the filter bandwidth may not exactly be matched to the downlink signal modulation spectrum.  In order to assure that the data spectrum is contained within the filter and in order to account for some doppler frequency errors on the downlink the filter often has a bandwidth (in Hz) larger than the data rate (in bps).  In that case this calculation method is more appropriate.</t>
        </r>
      </text>
    </comment>
    <comment ref="B62" authorId="0" shapeId="0" xr:uid="{F3E66DF8-2E4C-491F-85FC-BD3830670708}">
      <text>
        <r>
          <rPr>
            <sz val="10"/>
            <color indexed="81"/>
            <rFont val="Tahoma"/>
            <family val="2"/>
          </rPr>
          <t xml:space="preserve">
This is the result of the Eb/No required theoretically for the modulation method selected plus any additional losses caused by imperfections in the demodulator design.  </t>
        </r>
      </text>
    </comment>
    <comment ref="B64" authorId="0" shapeId="0" xr:uid="{00000000-0006-0000-0C00-000008000000}">
      <text>
        <r>
          <rPr>
            <sz val="8"/>
            <color indexed="81"/>
            <rFont val="Tahoma"/>
            <family val="2"/>
          </rPr>
          <t xml:space="preserve">
</t>
        </r>
        <r>
          <rPr>
            <sz val="10"/>
            <color indexed="81"/>
            <rFont val="Tahoma"/>
            <family val="2"/>
          </rPr>
          <t>This is the bottom line.  This value must be &gt; 0.0 dB for the link to work.  A target value should be approximately 10 dB for a low cost system, 6 dB for a professional system and 3 dB for a deep space system.</t>
        </r>
        <r>
          <rPr>
            <sz val="8"/>
            <color indexed="81"/>
            <rFont val="Tahoma"/>
            <family val="2"/>
          </rPr>
          <t xml:space="preserve">
</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A9" authorId="0" shapeId="0" xr:uid="{2DB1FAFD-EF3F-469B-BEE3-6B83FFB442B4}">
      <text>
        <r>
          <rPr>
            <sz val="8"/>
            <color indexed="81"/>
            <rFont val="Tahoma"/>
            <family val="2"/>
          </rPr>
          <t xml:space="preserve">
</t>
        </r>
        <r>
          <rPr>
            <sz val="10"/>
            <color indexed="81"/>
            <rFont val="Tahoma"/>
            <family val="2"/>
          </rPr>
          <t>This is a block diagram of the command and telemetry link systems.  It contains all of the data selected by the link model operator.  It represents a high level specification for the command and telemetry equipment in the spacecraft and the ground station.  This can be printed as a final result, all or in part, as may be useful to the operator or other project members.  
Key losses associated with the link are summarized in this system performance summary.  The values are located in the middle of the W/S in the "Radio Link" area.
Only one operator selection is needed in this W/S.  At Cell [O12], the efficiency of the transmitter [</t>
        </r>
        <r>
          <rPr>
            <b/>
            <sz val="10"/>
            <color indexed="81"/>
            <rFont val="Symbol"/>
            <family val="1"/>
          </rPr>
          <t>h</t>
        </r>
        <r>
          <rPr>
            <b/>
            <sz val="8"/>
            <color indexed="81"/>
            <rFont val="Tahoma"/>
            <family val="2"/>
          </rPr>
          <t xml:space="preserve">Tx </t>
        </r>
        <r>
          <rPr>
            <sz val="10"/>
            <color indexed="81"/>
            <rFont val="Tahoma"/>
            <family val="2"/>
          </rPr>
          <t xml:space="preserve">=(RF Output Power/DC Input Power)X100] is entered.  The W/S calculates the DC power required to be delivered to the transmitter and the amount of heat dissipated by the transmitter (See Cell[O14] and Cell [O16].)  
Notice the cells in the two regions of the W/S, [E5:G7] and [N107:P109].  They contain the final results of both links.  The color of the results boxes will change, depending on the performance achieved.  The colors are as follows:
- GREEN:   Link margin &gt; 6 dB.  "Link Closes"
-YELLOW:  Link margin &gt; 0 dB but, &lt; 6 dB.  "Link Marginal"
-RED:        Link margin &lt; 0 dB.  "No Link!"
Everything else in the "Systems Performance Summary" should be self-explanitory.  After you have reviewed the System Performance Summary, you may want to review some of the design tools that support the Link Model System, including:
"S/C Antenna Patterns", "Beam Roll-Off Tool", "Beam Roll-Off Plot", "Line Loss Tools &amp; Tables", and "VSWR Loss Tool".  The "Orbit Shape Data" should not be modified by the link model operator.   In a later verions this W/S may be used to provide options for eliptical orbits or planetary (Earth escape missions). </t>
        </r>
      </text>
    </comment>
    <comment ref="O13" authorId="0" shapeId="0" xr:uid="{AF7C0122-8326-4B32-963F-EE2CA96F74D0}">
      <text>
        <r>
          <rPr>
            <sz val="10"/>
            <color indexed="81"/>
            <rFont val="Tahoma"/>
            <family val="2"/>
          </rPr>
          <t xml:space="preserve">
Operator Enter Transmitter DC to RF Power Efficiency</t>
        </r>
        <r>
          <rPr>
            <sz val="8"/>
            <color indexed="81"/>
            <rFont val="Tahoma"/>
            <family val="2"/>
          </rPr>
          <t xml:space="preserve">
</t>
        </r>
      </text>
    </comment>
    <comment ref="O15" authorId="0" shapeId="0" xr:uid="{D69380B3-D1A4-446B-93C8-3630333A4D36}">
      <text>
        <r>
          <rPr>
            <sz val="8"/>
            <color indexed="81"/>
            <rFont val="Tahoma"/>
            <family val="2"/>
          </rPr>
          <t xml:space="preserve">
</t>
        </r>
        <r>
          <rPr>
            <sz val="10"/>
            <color indexed="81"/>
            <rFont val="Tahoma"/>
            <family val="2"/>
          </rPr>
          <t>This is the DC power required whenever the Spacecraft Transmitter is ON.  This should be passed on to the Spacecraft Power Subsystem analysis process.</t>
        </r>
        <r>
          <rPr>
            <sz val="8"/>
            <color indexed="81"/>
            <rFont val="Tahoma"/>
            <family val="2"/>
          </rPr>
          <t xml:space="preserve">
</t>
        </r>
      </text>
    </comment>
    <comment ref="O17" authorId="0" shapeId="0" xr:uid="{BE8B93E8-61BB-4F68-AD3C-54E8F7AB4EB1}">
      <text>
        <r>
          <rPr>
            <sz val="8"/>
            <color indexed="81"/>
            <rFont val="Tahoma"/>
            <family val="2"/>
          </rPr>
          <t xml:space="preserve">
</t>
        </r>
        <r>
          <rPr>
            <sz val="10"/>
            <color indexed="81"/>
            <rFont val="Tahoma"/>
            <family val="2"/>
          </rPr>
          <t>This is the  thermal heat that must be dissipated by the transmitter.  This value should be passed on to the Spacecraft Thermal analysis process.</t>
        </r>
        <r>
          <rPr>
            <sz val="8"/>
            <color indexed="81"/>
            <rFont val="Tahoma"/>
            <family val="2"/>
          </rPr>
          <t xml:space="preserve">
</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A6" authorId="0" shapeId="0" xr:uid="{00000000-0006-0000-0E00-000001000000}">
      <text>
        <r>
          <rPr>
            <sz val="8"/>
            <color indexed="81"/>
            <rFont val="Tahoma"/>
            <family val="2"/>
          </rPr>
          <t xml:space="preserve">
</t>
        </r>
        <r>
          <rPr>
            <sz val="10"/>
            <color indexed="81"/>
            <rFont val="Tahoma"/>
            <family val="2"/>
          </rPr>
          <t>This worksheet allows the link model operator to visualize several classical antenna patterns used in spacecraft design.  The patterns given here are undistorted by the effects of the structure, which for very small spacecraft, are considerable.  
For example, the monopole pattern as given here, assumes that a perfect groundplane exists below the 1/4</t>
        </r>
        <r>
          <rPr>
            <sz val="10"/>
            <color indexed="81"/>
            <rFont val="Symbol"/>
            <family val="1"/>
          </rPr>
          <t>l</t>
        </r>
        <r>
          <rPr>
            <sz val="10"/>
            <color indexed="81"/>
            <rFont val="Tahoma"/>
            <family val="2"/>
          </rPr>
          <t xml:space="preserve"> radiating element.  A small spacecraft is far from an infinite conducting plane.  In fact, for a picosat cubic structure, a quarter wave element on the top of the cube will produce a nearly perfect</t>
        </r>
        <r>
          <rPr>
            <i/>
            <sz val="10"/>
            <color indexed="81"/>
            <rFont val="Tahoma"/>
            <family val="2"/>
          </rPr>
          <t xml:space="preserve"> dipole </t>
        </r>
        <r>
          <rPr>
            <sz val="10"/>
            <color indexed="81"/>
            <rFont val="Tahoma"/>
            <family val="2"/>
          </rPr>
          <t xml:space="preserve">pattern rather than the monopole pattern given here.  The turnstyle or canted turnstyle antenna patterns given will still be quite accurate when placed on small symmetic stuctures.  The quadrifilar helix is likely to be the  least effected by the structure on which it is mounted, since it does not require a ground plane of any kind to form its pattern.  The patch antenna is probably an in-between case and will be influenced by the structure to a considerable extent.
A tool is now available at very reasonable cost that will allow anyone interested, to properly model the effects of a spacecraft (or any other sturcture) on a radiating antenna system.  The software is called EZNEC and is available on-line at </t>
        </r>
        <r>
          <rPr>
            <sz val="10"/>
            <color indexed="12"/>
            <rFont val="Tahoma"/>
            <family val="2"/>
          </rPr>
          <t>http://www.eznec.com</t>
        </r>
        <r>
          <rPr>
            <sz val="10"/>
            <color indexed="81"/>
            <rFont val="Tahoma"/>
            <family val="2"/>
          </rPr>
          <t>.    Some of the patterns given here made use of this software.  You should consider obtaining EZNEC+4 as that version supports circularly polarized antenna systems.  Future releases of this link model will include pattern data using realistic space flight structures.  This recent finding on my part means I can't complete the work required to produce the modified patterns prior to this release.  I think you will find the use of EZNEC an enjoyable exercise and it will show you how far we have come from Maxwell's vector calculus equations.  He would be amazed and delighted at our modern tools, I'm sure.</t>
        </r>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A5" authorId="0" shapeId="0" xr:uid="{00000000-0006-0000-0F00-000001000000}">
      <text>
        <r>
          <rPr>
            <sz val="8"/>
            <color indexed="81"/>
            <rFont val="Tahoma"/>
            <family val="2"/>
          </rPr>
          <t xml:space="preserve">
NOTE:  In this case, the frequency should be expressed in GHz.
</t>
        </r>
      </text>
    </comment>
    <comment ref="A6" authorId="0" shapeId="0" xr:uid="{00000000-0006-0000-0F00-000002000000}">
      <text>
        <r>
          <rPr>
            <sz val="9"/>
            <color indexed="81"/>
            <rFont val="Tahoma"/>
            <family val="2"/>
          </rPr>
          <t xml:space="preserve">
The physical diameter of a dish antenna or, alternatively, the diameter of an alternative antenna's effective aperture.</t>
        </r>
        <r>
          <rPr>
            <sz val="8"/>
            <color indexed="81"/>
            <rFont val="Tahoma"/>
            <family val="2"/>
          </rPr>
          <t xml:space="preserve">
</t>
        </r>
      </text>
    </comment>
    <comment ref="A7" authorId="0" shapeId="0" xr:uid="{00000000-0006-0000-0F00-000003000000}">
      <text>
        <r>
          <rPr>
            <sz val="9"/>
            <color indexed="81"/>
            <rFont val="Tahoma"/>
            <family val="2"/>
          </rPr>
          <t xml:space="preserve">
The illumination efficiency of the dish.  If you are uncertain about this value use approximately 55%.</t>
        </r>
        <r>
          <rPr>
            <sz val="8"/>
            <color indexed="81"/>
            <rFont val="Tahoma"/>
            <family val="2"/>
          </rPr>
          <t xml:space="preserve">
</t>
        </r>
      </text>
    </comment>
    <comment ref="A13" authorId="0" shapeId="0" xr:uid="{00000000-0006-0000-0F00-000004000000}">
      <text>
        <r>
          <rPr>
            <sz val="8"/>
            <color indexed="81"/>
            <rFont val="Tahoma"/>
            <family val="2"/>
          </rPr>
          <t xml:space="preserve">
</t>
        </r>
        <r>
          <rPr>
            <sz val="10"/>
            <color indexed="81"/>
            <rFont val="Tahoma"/>
            <family val="2"/>
          </rPr>
          <t>This is a tool for determining the performance of a small (and simple) parabolic reflector.  It uses a sin</t>
        </r>
        <r>
          <rPr>
            <sz val="10"/>
            <color indexed="81"/>
            <rFont val="Arial"/>
            <family val="2"/>
          </rPr>
          <t>²θ</t>
        </r>
        <r>
          <rPr>
            <sz val="10"/>
            <color indexed="81"/>
            <rFont val="Tahoma"/>
            <family val="2"/>
          </rPr>
          <t>/</t>
        </r>
        <r>
          <rPr>
            <sz val="10"/>
            <color indexed="81"/>
            <rFont val="Arial"/>
            <family val="2"/>
          </rPr>
          <t>θ²</t>
        </r>
        <r>
          <rPr>
            <sz val="10"/>
            <color indexed="81"/>
            <rFont val="Tahoma"/>
            <family val="2"/>
          </rPr>
          <t xml:space="preserve"> representation of the antenna directivity.  This is appropriate for simple feeds with relatively poor aperture illumination efficiency.  The first sidelobes are only reduced by ("down") 14 dB.  Optimized dishes will have first sidelobes as much as 22 dB down.  Still this is an excellent first cut  method to see what the directivity of a parabolic reflector looks like.  
Try to accurately estimate the aperture illumination efficiency.  If you do not know what it is for your system then a reasonable starting value is 55%.
This is a tool so no data is entered into the interconnected group of earlier W/Ss.  The results from this W/S are graphically represented in the next W/S ("Beam Roll-Off Plot").  The tabluar form of the data is given in this W/S so that one can numerically identify the angle and amplitude values for each sidelobe peak and null.  The key results of the W/S are the peak gain and -3 dB beamwidth of the antenna.  
NOTE:  The data in the table is for the one-sided angle measured from the boresight to roll-off point of interest.  So the value in column I is 1/2 of the two sided value.  (e.g., the -3dB beamwidth of the the starter antenna is 2X5.5</t>
        </r>
        <r>
          <rPr>
            <sz val="10"/>
            <color indexed="81"/>
            <rFont val="Arial"/>
            <family val="2"/>
          </rPr>
          <t>°</t>
        </r>
        <r>
          <rPr>
            <sz val="10"/>
            <color indexed="81"/>
            <rFont val="Tahoma"/>
            <family val="2"/>
          </rPr>
          <t>. = 11.0</t>
        </r>
        <r>
          <rPr>
            <sz val="10"/>
            <color indexed="81"/>
            <rFont val="Arial"/>
            <family val="2"/>
          </rPr>
          <t>°)</t>
        </r>
        <r>
          <rPr>
            <sz val="10"/>
            <color indexed="81"/>
            <rFont val="Tahoma"/>
            <family val="2"/>
          </rPr>
          <t xml:space="preserve">. </t>
        </r>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4" authorId="0" shapeId="0" xr:uid="{00000000-0006-0000-1100-000001000000}">
      <text>
        <r>
          <rPr>
            <sz val="8"/>
            <color indexed="81"/>
            <rFont val="Tahoma"/>
            <family val="2"/>
          </rPr>
          <t xml:space="preserve">
</t>
        </r>
        <r>
          <rPr>
            <sz val="10"/>
            <color indexed="81"/>
            <rFont val="Tahoma"/>
            <family val="2"/>
          </rPr>
          <t xml:space="preserve">After reviewing available information on the Internet it was decided that for ordinary coax cables that are routinely found in ground systems, many cable loss charts and even caclulators have already been developed.  The best of the calculators and loss tables are referenced here and these will be distributed along with the link model itself.  Remember to use or translate the length units from feet to meters as you will no doubt want to use metric measure in your project.  The data sources are international.
One url reference is also given that provides losses for standard waveguide products (in terms of loss per length).  
For spacecaft coax cabling, it is harder to find loss data so an effort has been made here to provide loss data for miniature coax cables and semi-ridgid lines suitable for space use (e.g. made from non-outgassing "clean" materials).  </t>
        </r>
        <r>
          <rPr>
            <sz val="8"/>
            <color indexed="81"/>
            <rFont val="Tahoma"/>
            <family val="2"/>
          </rPr>
          <t xml:space="preserve">
</t>
        </r>
        <r>
          <rPr>
            <sz val="10"/>
            <color indexed="81"/>
            <rFont val="Tahoma"/>
            <family val="2"/>
          </rPr>
          <t>Cable loss data developed from these tables and caluclators may be used as input information to the "Transmitters" and "Receivers" worksheets for the values L</t>
        </r>
        <r>
          <rPr>
            <sz val="8"/>
            <color indexed="81"/>
            <rFont val="Tahoma"/>
            <family val="2"/>
          </rPr>
          <t>A</t>
        </r>
        <r>
          <rPr>
            <sz val="10"/>
            <color indexed="81"/>
            <rFont val="Tahoma"/>
            <family val="2"/>
          </rPr>
          <t>, L</t>
        </r>
        <r>
          <rPr>
            <sz val="8"/>
            <color indexed="81"/>
            <rFont val="Tahoma"/>
            <family val="2"/>
          </rPr>
          <t>B</t>
        </r>
        <r>
          <rPr>
            <sz val="10"/>
            <color indexed="81"/>
            <rFont val="Tahoma"/>
            <family val="2"/>
          </rPr>
          <t xml:space="preserve"> and L</t>
        </r>
        <r>
          <rPr>
            <sz val="8"/>
            <color indexed="81"/>
            <rFont val="Tahoma"/>
            <family val="2"/>
          </rPr>
          <t>C</t>
        </r>
        <r>
          <rPr>
            <sz val="10"/>
            <color indexed="81"/>
            <rFont val="Tahoma"/>
            <family val="2"/>
          </rPr>
          <t>.  NOTE:  Data is NOT automatically inserted into other sheets from this W/S.</t>
        </r>
      </text>
    </comment>
    <comment ref="L46" authorId="0" shapeId="0" xr:uid="{00000000-0006-0000-1100-000002000000}">
      <text>
        <r>
          <rPr>
            <sz val="8"/>
            <color indexed="81"/>
            <rFont val="Tahoma"/>
            <family val="2"/>
          </rPr>
          <t xml:space="preserve">
</t>
        </r>
        <r>
          <rPr>
            <sz val="10"/>
            <color indexed="81"/>
            <rFont val="Tahoma"/>
            <family val="2"/>
          </rPr>
          <t>Operator selects band number and cable length.  Result is the cable loss.</t>
        </r>
        <r>
          <rPr>
            <sz val="8"/>
            <color indexed="81"/>
            <rFont val="Tahoma"/>
            <family val="2"/>
          </rPr>
          <t xml:space="preserve">
</t>
        </r>
      </text>
    </comment>
    <comment ref="L67" authorId="0" shapeId="0" xr:uid="{00000000-0006-0000-1100-000003000000}">
      <text>
        <r>
          <rPr>
            <sz val="8"/>
            <color indexed="81"/>
            <rFont val="Tahoma"/>
            <family val="2"/>
          </rPr>
          <t xml:space="preserve">
</t>
        </r>
        <r>
          <rPr>
            <sz val="10"/>
            <color indexed="81"/>
            <rFont val="Tahoma"/>
            <family val="2"/>
          </rPr>
          <t>Operator selects band number and cable length.  Result is the cable loss.</t>
        </r>
        <r>
          <rPr>
            <sz val="8"/>
            <color indexed="81"/>
            <rFont val="Tahoma"/>
            <family val="2"/>
          </rPr>
          <t xml:space="preserve">
</t>
        </r>
      </text>
    </comment>
    <comment ref="L88" authorId="0" shapeId="0" xr:uid="{00000000-0006-0000-1100-000004000000}">
      <text>
        <r>
          <rPr>
            <sz val="8"/>
            <color indexed="81"/>
            <rFont val="Tahoma"/>
            <family val="2"/>
          </rPr>
          <t xml:space="preserve">
</t>
        </r>
        <r>
          <rPr>
            <sz val="10"/>
            <color indexed="81"/>
            <rFont val="Tahoma"/>
            <family val="2"/>
          </rPr>
          <t>Operator selects band number and cable length.  Result is the cable loss.</t>
        </r>
        <r>
          <rPr>
            <sz val="8"/>
            <color indexed="81"/>
            <rFont val="Tahoma"/>
            <family val="2"/>
          </rPr>
          <t xml:space="preserve">
</t>
        </r>
      </text>
    </comment>
    <comment ref="L110" authorId="0" shapeId="0" xr:uid="{00000000-0006-0000-1100-000005000000}">
      <text>
        <r>
          <rPr>
            <sz val="8"/>
            <color indexed="81"/>
            <rFont val="Tahoma"/>
            <family val="2"/>
          </rPr>
          <t xml:space="preserve">
</t>
        </r>
        <r>
          <rPr>
            <sz val="10"/>
            <color indexed="81"/>
            <rFont val="Tahoma"/>
            <family val="2"/>
          </rPr>
          <t>Operator selects band number and cable length.  Result is the cable loss.</t>
        </r>
        <r>
          <rPr>
            <sz val="8"/>
            <color indexed="81"/>
            <rFont val="Tahoma"/>
            <family val="2"/>
          </rPr>
          <t xml:space="preserve">
</t>
        </r>
      </text>
    </comment>
    <comment ref="L132" authorId="0" shapeId="0" xr:uid="{00000000-0006-0000-1100-000006000000}">
      <text>
        <r>
          <rPr>
            <sz val="8"/>
            <color indexed="81"/>
            <rFont val="Tahoma"/>
            <family val="2"/>
          </rPr>
          <t xml:space="preserve">
</t>
        </r>
        <r>
          <rPr>
            <sz val="10"/>
            <color indexed="81"/>
            <rFont val="Tahoma"/>
            <family val="2"/>
          </rPr>
          <t>Operator selects band number and cable length.  Result is the cable loss.</t>
        </r>
        <r>
          <rPr>
            <sz val="8"/>
            <color indexed="81"/>
            <rFont val="Tahoma"/>
            <family val="2"/>
          </rPr>
          <t xml:space="preserve">
</t>
        </r>
      </text>
    </comment>
  </commentList>
</comments>
</file>

<file path=xl/comments18.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3" authorId="0" shapeId="0" xr:uid="{00000000-0006-0000-1200-000001000000}">
      <text>
        <r>
          <rPr>
            <sz val="8"/>
            <color indexed="81"/>
            <rFont val="Tahoma"/>
            <family val="2"/>
          </rPr>
          <t xml:space="preserve">
</t>
        </r>
        <r>
          <rPr>
            <sz val="10"/>
            <color indexed="81"/>
            <rFont val="Tahoma"/>
            <family val="2"/>
          </rPr>
          <t xml:space="preserve">In a spacecraft transmitter system, some loss in power occurs because the antenna/transmission line system is not perfectly matched to the transmitter.  By this we mean the impedance of the transmitter has not been made to be the same as that of the antenna system.  It is typical in spacecraft work to match the transmitter, transmission lines and antennas to 50 </t>
        </r>
        <r>
          <rPr>
            <sz val="10"/>
            <color indexed="81"/>
            <rFont val="Symbol"/>
            <family val="1"/>
          </rPr>
          <t>W</t>
        </r>
        <r>
          <rPr>
            <sz val="10"/>
            <color indexed="81"/>
            <rFont val="Tahoma"/>
            <family val="2"/>
          </rPr>
          <t xml:space="preserve"> real with no reactance (j</t>
        </r>
        <r>
          <rPr>
            <sz val="10"/>
            <color indexed="81"/>
            <rFont val="Symbol"/>
            <family val="1"/>
          </rPr>
          <t>w</t>
        </r>
        <r>
          <rPr>
            <sz val="10"/>
            <color indexed="81"/>
            <rFont val="Tahoma"/>
            <family val="2"/>
          </rPr>
          <t xml:space="preserve"> = 0).  Typically, however, it is difficult to assure that the antenna system is perfectly "matched" to this value.  Often the real component will be different than 50 </t>
        </r>
        <r>
          <rPr>
            <sz val="10"/>
            <color indexed="81"/>
            <rFont val="Symbol"/>
            <family val="1"/>
          </rPr>
          <t>W</t>
        </r>
        <r>
          <rPr>
            <sz val="10"/>
            <color indexed="81"/>
            <rFont val="Tahoma"/>
            <family val="2"/>
          </rPr>
          <t xml:space="preserve"> and/or a residual reactive component exists.  This will cause some power generated by the transmitter, and arriving at the antenna, to be reflected back toward the transmitter.  This power is lost to the downlink AND heats up the final RF transistor of the transmitter unless various circuit methods are employed to prevent this (e.g., a ciruclator could be used between the amplifier and the antenna).
The method most commonly used to measure this effect is the Voltage Standing Wave Ratio (VSWR).  The VSWR is simply equal to Z</t>
        </r>
        <r>
          <rPr>
            <sz val="8"/>
            <color indexed="81"/>
            <rFont val="Tahoma"/>
            <family val="2"/>
          </rPr>
          <t>tx</t>
        </r>
        <r>
          <rPr>
            <sz val="10"/>
            <color indexed="81"/>
            <rFont val="Tahoma"/>
            <family val="2"/>
          </rPr>
          <t>/Z</t>
        </r>
        <r>
          <rPr>
            <sz val="8"/>
            <color indexed="81"/>
            <rFont val="Tahoma"/>
            <family val="2"/>
          </rPr>
          <t>sys</t>
        </r>
        <r>
          <rPr>
            <sz val="10"/>
            <color indexed="81"/>
            <rFont val="Tahoma"/>
            <family val="2"/>
          </rPr>
          <t>,where Z</t>
        </r>
        <r>
          <rPr>
            <sz val="8"/>
            <color indexed="81"/>
            <rFont val="Tahoma"/>
            <family val="2"/>
          </rPr>
          <t>tx</t>
        </r>
        <r>
          <rPr>
            <sz val="10"/>
            <color indexed="81"/>
            <rFont val="Tahoma"/>
            <family val="2"/>
          </rPr>
          <t xml:space="preserve"> is the impedance of the transmitter and Z</t>
        </r>
        <r>
          <rPr>
            <sz val="8"/>
            <color indexed="81"/>
            <rFont val="Tahoma"/>
            <family val="2"/>
          </rPr>
          <t>sys</t>
        </r>
        <r>
          <rPr>
            <sz val="10"/>
            <color indexed="81"/>
            <rFont val="Tahoma"/>
            <family val="2"/>
          </rPr>
          <t xml:space="preserve"> is the impedance of the rest of the sytem looking into the feedline from the transmitter end.  </t>
        </r>
        <r>
          <rPr>
            <sz val="8"/>
            <color indexed="81"/>
            <rFont val="Tahoma"/>
            <family val="2"/>
          </rPr>
          <t xml:space="preserve"> </t>
        </r>
        <r>
          <rPr>
            <sz val="10"/>
            <color indexed="81"/>
            <rFont val="Tahoma"/>
            <family val="2"/>
          </rPr>
          <t>The VSWR of the system may be measured by connecting the feedline (at the connector that interfaces to the transmitter) to a network analyzer or a thruough-line watt meter (e.g., a Bird watt- meter).   VSWR is expressed as a ratio (e.g., 1.5:1).  Once the the VSWR is know the reflected power may be calculated using the formula:
                                      Pr = P x (S-1)^2 / (S+1)^2 
where:  P = Transmitter power output and S = the VSWR looking into the feed line to the antenna.
This calculator calculates the loss in dB resulting from an antenna mismatch measure by it's VSWR.  This value should be used in the "Transmitters"  W/S and should be entered into Cells [I33] and [I69].</t>
        </r>
      </text>
    </comment>
    <comment ref="V22" authorId="0" shapeId="0" xr:uid="{00000000-0006-0000-1200-000002000000}">
      <text>
        <r>
          <rPr>
            <sz val="8"/>
            <color indexed="81"/>
            <rFont val="Tahoma"/>
            <family val="2"/>
          </rPr>
          <t xml:space="preserve">
</t>
        </r>
        <r>
          <rPr>
            <sz val="10"/>
            <color indexed="81"/>
            <rFont val="Tahoma"/>
            <family val="2"/>
          </rPr>
          <t>The VSWR of the transmitter system is equal to:
                  |Z</t>
        </r>
        <r>
          <rPr>
            <sz val="8"/>
            <color indexed="81"/>
            <rFont val="Tahoma"/>
            <family val="2"/>
          </rPr>
          <t>tx</t>
        </r>
        <r>
          <rPr>
            <sz val="10"/>
            <color indexed="81"/>
            <rFont val="Tahoma"/>
            <family val="2"/>
          </rPr>
          <t>|        |Z</t>
        </r>
        <r>
          <rPr>
            <sz val="8"/>
            <color indexed="81"/>
            <rFont val="Tahoma"/>
            <family val="2"/>
          </rPr>
          <t>sys</t>
        </r>
        <r>
          <rPr>
            <sz val="10"/>
            <color indexed="81"/>
            <rFont val="Tahoma"/>
            <family val="2"/>
          </rPr>
          <t>|
     VSWR = ------  or  --------
                  |Z</t>
        </r>
        <r>
          <rPr>
            <sz val="8"/>
            <color indexed="81"/>
            <rFont val="Tahoma"/>
            <family val="2"/>
          </rPr>
          <t>sys</t>
        </r>
        <r>
          <rPr>
            <sz val="10"/>
            <color indexed="81"/>
            <rFont val="Tahoma"/>
            <family val="2"/>
          </rPr>
          <t>|      |Z</t>
        </r>
        <r>
          <rPr>
            <sz val="8"/>
            <color indexed="81"/>
            <rFont val="Tahoma"/>
            <family val="2"/>
          </rPr>
          <t>tx</t>
        </r>
        <r>
          <rPr>
            <sz val="10"/>
            <color indexed="81"/>
            <rFont val="Tahoma"/>
            <family val="2"/>
          </rPr>
          <t>|
     whichever is greater.</t>
        </r>
      </text>
    </comment>
    <comment ref="G42" authorId="0" shapeId="0" xr:uid="{00000000-0006-0000-1200-000003000000}">
      <text>
        <r>
          <rPr>
            <sz val="8"/>
            <color indexed="81"/>
            <rFont val="Tahoma"/>
            <family val="2"/>
          </rPr>
          <t xml:space="preserve">
</t>
        </r>
        <r>
          <rPr>
            <sz val="10"/>
            <color indexed="81"/>
            <rFont val="Tahoma"/>
            <family val="2"/>
          </rPr>
          <t>The VSWR can be determined by measuring the FORWARD and the REFLECTED power using an In-Line Watt Meter.  The equation for calculating VSWR is:
                           [(P</t>
        </r>
        <r>
          <rPr>
            <sz val="8"/>
            <color indexed="81"/>
            <rFont val="Tahoma"/>
            <family val="2"/>
          </rPr>
          <t>f</t>
        </r>
        <r>
          <rPr>
            <sz val="10"/>
            <color indexed="81"/>
            <rFont val="Tahoma"/>
            <family val="2"/>
          </rPr>
          <t>)^1/2] + [(Pr)^1/2]
                     S = ---------------------------
                          [(Pf)^1/2] -  [(Pr)^1/2]
Note that, to the extent possible, the antenna should be in "free space" conditions at the time of the measurements (i.e., many wavelengths away from all metal objects).</t>
        </r>
      </text>
    </comment>
  </commentList>
</comments>
</file>

<file path=xl/comments19.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17" authorId="0" shapeId="0" xr:uid="{00000000-0006-0000-1300-000001000000}">
      <text>
        <r>
          <rPr>
            <sz val="8"/>
            <color indexed="81"/>
            <rFont val="Tahoma"/>
            <family val="2"/>
          </rPr>
          <t xml:space="preserve">
The Azimuth Calculation within a Quadrant.
</t>
        </r>
      </text>
    </comment>
    <comment ref="B38" authorId="0" shapeId="0" xr:uid="{00000000-0006-0000-1300-000002000000}">
      <text>
        <r>
          <rPr>
            <sz val="8"/>
            <color indexed="81"/>
            <rFont val="Tahoma"/>
            <family val="2"/>
          </rPr>
          <t xml:space="preserve">
The Azimuth Calculation within a Quadrant.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D23" authorId="0" shapeId="0" xr:uid="{00000000-0006-0000-0100-000001000000}">
      <text>
        <r>
          <rPr>
            <sz val="8"/>
            <color indexed="81"/>
            <rFont val="Tahoma"/>
            <family val="2"/>
          </rPr>
          <t>This is a test note to see if you can use the instructions to see all of this pop-up note box even though it may extent off of your screen below.
You never know,
…there may be information way down here.</t>
        </r>
      </text>
    </comment>
  </commentList>
</comments>
</file>

<file path=xl/comments20.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A2" authorId="0" shapeId="0" xr:uid="{00000000-0006-0000-1400-000001000000}">
      <text>
        <r>
          <rPr>
            <sz val="8"/>
            <color indexed="81"/>
            <rFont val="Tahoma"/>
            <family val="2"/>
          </rPr>
          <t xml:space="preserve">
This data generates the Figure given in the "Orbit" W/S.  It's best to just ignore this W/S.  Thanks! Jan, VK4GEY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14" authorId="0" shapeId="0" xr:uid="{00000000-0006-0000-0200-000001000000}">
      <text>
        <r>
          <rPr>
            <sz val="8"/>
            <color indexed="81"/>
            <rFont val="Tahoma"/>
            <family val="2"/>
          </rPr>
          <t xml:space="preserve">
</t>
        </r>
        <r>
          <rPr>
            <sz val="10"/>
            <color indexed="81"/>
            <rFont val="Tahoma"/>
            <family val="2"/>
          </rPr>
          <t>Option #1 is intended for LEO Orbits.  You may find some of the calculations carried out here to be useful for orbit as well as link analysis.  The link model operator should enter the critical values associated with the apogee and perigee height of the orbit.  From that data the worksheet calculates the semi-major axis and the eccentricity of the orbit, which are proper Keplarian elements.  The operator may also wish to enter the orbit inclination, Argument of Prerigee, Right Ascension of Asending Node and Mean Anomaly values.  Given this information, the worksheet will determine the period of the orbit and the first derivatives for the AoP and RAAN.  These will determine how the orbit will propagate over time.  Another useful parameter is also calculated by the worksheet.  Assuming only the orbit inclination can be changed, the worksheet determines the correct value of inclination for a sun synchronous orbit, given the other orbital elements provided.   
Most importantly for the link analysis, the link model operator must enter the minimum acceptable elevation angle, found to be suitable at the ground station site.  Then, the maximum slant range to the spacecraft will be calculated.  This is the range used by the link model in determining path loss.  In addition, the elevation angle is used in subsequent worksheets to estimate the atmospheric losses.   In fact, any elevation angle can be entered and the corresponding slant range to the satellite is calculated.  This will allow an investigation of link performance as a function of elevation angle or slant range.
The figure is provided to help the operator envision the geometry associated with the link. 
Now that the orbital properties have been selected, move to the "Frequency" W/S to the "Uplink &amp; Downlink Frequency Choices."</t>
        </r>
      </text>
    </comment>
    <comment ref="C38" authorId="0" shapeId="0" xr:uid="{00000000-0006-0000-0200-000002000000}">
      <text>
        <r>
          <rPr>
            <sz val="8"/>
            <color indexed="81"/>
            <rFont val="Tahoma"/>
            <family val="2"/>
          </rPr>
          <t xml:space="preserve">
Option #2 is intended for High Earth Orbits using eliptical orbits.  The link model operator selects
</t>
        </r>
      </text>
    </comment>
    <comment ref="J68" authorId="0" shapeId="0" xr:uid="{00000000-0006-0000-0200-000003000000}">
      <text>
        <r>
          <rPr>
            <sz val="8"/>
            <color indexed="81"/>
            <rFont val="Tahoma"/>
            <family val="2"/>
          </rPr>
          <t xml:space="preserve">
This is the Earth's diameter (not counting the atmosphere) as seen from the spacecraft.
</t>
        </r>
      </text>
    </comment>
    <comment ref="J69" authorId="0" shapeId="0" xr:uid="{00000000-0006-0000-0200-000004000000}">
      <text>
        <r>
          <rPr>
            <sz val="8"/>
            <color indexed="81"/>
            <rFont val="Tahoma"/>
            <family val="2"/>
          </rPr>
          <t xml:space="preserve">
Note that we depict here only the in-orbit plane compoent.  There is, generally, an out-of-plane component as well.  The pointing vector shown is also to the center of the Earth.  The link model operator may wish to calculate the pointing vector from the antenna boresight axis to the ground station location.  
To assist in completing this calculation, see Ref. 7 (I.I.R.R. W/S), pages 63-71.</t>
        </r>
      </text>
    </comment>
    <comment ref="J70" authorId="0" shapeId="0" xr:uid="{00000000-0006-0000-0200-000005000000}">
      <text>
        <r>
          <rPr>
            <sz val="8"/>
            <color indexed="81"/>
            <rFont val="Tahoma"/>
            <family val="2"/>
          </rPr>
          <t xml:space="preserve">
This is the angle from the symetry axis of the spacecraft antenna to the furthest point away from the spacecraft but, still on the Earth's surface.
</t>
        </r>
      </text>
    </comment>
    <comment ref="J71" authorId="0" shapeId="0" xr:uid="{00000000-0006-0000-0200-000006000000}">
      <text>
        <r>
          <rPr>
            <sz val="8"/>
            <color indexed="81"/>
            <rFont val="Tahoma"/>
            <family val="2"/>
          </rPr>
          <t xml:space="preserve">
Link model operator must calculate and verify that the antenna pointing error is consistent with the S/C pointing vector given in Cell [K69] and takes into consideration the location of the ground station on the Earth.  This is a 3D math problem.  Once this overall angle is determined it may be used in the antenna pointing losses W/S to determine the RX antenna pointing loss.  That will automatically be transferred to this sheet and to the Uplink and Dowlink Budget W/Ss.  </t>
        </r>
      </text>
    </comment>
    <comment ref="J72" authorId="0" shapeId="0" xr:uid="{00000000-0006-0000-0200-000007000000}">
      <text>
        <r>
          <rPr>
            <sz val="8"/>
            <color indexed="81"/>
            <rFont val="Tahoma"/>
            <family val="2"/>
          </rPr>
          <t xml:space="preserve">
Link model operator must calculate and verify that the antenna pointing error is consistent with the S/C pointing vector given in Cell [K69] and takes into consideration the location of the ground station on the Earth.  This is a 3D math problem.  Once this overall angle is determined it may be used in the antenna pointing losses W/S to determine the RX antenna pointing loss.  That will automatically be transferred to this sheet and to the Uplink and Dowlink Budget W/Ss.  
</t>
        </r>
      </text>
    </comment>
    <comment ref="D85" authorId="0" shapeId="0" xr:uid="{00000000-0006-0000-0200-000008000000}">
      <text>
        <r>
          <rPr>
            <sz val="8"/>
            <color indexed="81"/>
            <rFont val="Tahoma"/>
            <family val="2"/>
          </rPr>
          <t xml:space="preserve">
</t>
        </r>
        <r>
          <rPr>
            <sz val="9"/>
            <color indexed="81"/>
            <rFont val="Tahoma"/>
            <family val="2"/>
          </rPr>
          <t>The GEO Orbit Option W/S allows the link model operator to select a GEO Orbit Slot and the location of two satellite users (one for the uplink and one for the downlink).  The W/S calculates the slant range to each user as well as the azimuth and elevation bearing to the satellite from each user.  As an additional output the Earth central angle from the sub-satellite point to the user location is also provided. The slant range results are forwarded to the frequency W/S for computation of the link path loss.</t>
        </r>
        <r>
          <rPr>
            <sz val="8"/>
            <color indexed="81"/>
            <rFont val="Tahoma"/>
            <family val="2"/>
          </rPr>
          <t xml:space="preserve">
</t>
        </r>
      </text>
    </comment>
    <comment ref="O96" authorId="0" shapeId="0" xr:uid="{00000000-0006-0000-0200-000009000000}">
      <text>
        <r>
          <rPr>
            <sz val="8"/>
            <color indexed="81"/>
            <rFont val="Tahoma"/>
            <family val="2"/>
          </rPr>
          <t xml:space="preserve">
This data entry allows a downlink to the same user or to a different user location. 
</t>
        </r>
      </text>
    </comment>
    <comment ref="A102" authorId="0" shapeId="0" xr:uid="{00000000-0006-0000-0200-00000A000000}">
      <text>
        <r>
          <rPr>
            <sz val="8"/>
            <color indexed="81"/>
            <rFont val="Tahoma"/>
            <family val="2"/>
          </rPr>
          <t xml:space="preserve">
Spacecraft Slot Latitude is 0</t>
        </r>
        <r>
          <rPr>
            <sz val="8"/>
            <color indexed="81"/>
            <rFont val="Arial"/>
            <family val="2"/>
          </rPr>
          <t>°</t>
        </r>
        <r>
          <rPr>
            <sz val="8"/>
            <color indexed="81"/>
            <rFont val="Tahoma"/>
            <family val="2"/>
          </rPr>
          <t xml:space="preserve"> by Definition.
</t>
        </r>
      </text>
    </comment>
    <comment ref="G115" authorId="0" shapeId="0" xr:uid="{00000000-0006-0000-0200-00000B000000}">
      <text>
        <r>
          <rPr>
            <sz val="8"/>
            <color indexed="81"/>
            <rFont val="Tahoma"/>
            <family val="2"/>
          </rPr>
          <t xml:space="preserve">
</t>
        </r>
        <r>
          <rPr>
            <sz val="10"/>
            <color indexed="81"/>
            <rFont val="Tahoma"/>
            <family val="2"/>
          </rPr>
          <t>The link model operator enters the mission target object and the range to the deep space spacecraft in astronomical units (AU).  No orbital mechanics calculation is carried out.  The computed range (in kilometers) will be used for path loss calculations in the next W/S.
After the orbit option has been selected move on to the "Frequency" W/S.</t>
        </r>
      </text>
    </comment>
    <comment ref="G121" authorId="0" shapeId="0" xr:uid="{00000000-0006-0000-0200-00000C000000}">
      <text>
        <r>
          <rPr>
            <sz val="8"/>
            <color indexed="81"/>
            <rFont val="Tahoma"/>
            <family val="2"/>
          </rPr>
          <t xml:space="preserve">
This value should be estimated or calculated from other available resource data.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7" authorId="0" shapeId="0" xr:uid="{00000000-0006-0000-0300-000001000000}">
      <text>
        <r>
          <rPr>
            <sz val="8"/>
            <color indexed="81"/>
            <rFont val="Tahoma"/>
            <family val="2"/>
          </rPr>
          <t xml:space="preserve">
</t>
        </r>
        <r>
          <rPr>
            <sz val="10"/>
            <color indexed="81"/>
            <rFont val="Tahoma"/>
            <family val="2"/>
          </rPr>
          <t>The link model operator enters the uplink and downlink frequency selection at Cell [L10] and Cell [L16] respectively.  If options 1,2 or 3 are not desired, an operator-defined choice is provded at Cell [C13] and Cell [19].  The path loss for each choice is given in column G.  The data from this W/S is forwarded to other subsequent sheets.
After the frequencies have been selected move on to the "Transmitters" W/S.</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6" authorId="0" shapeId="0" xr:uid="{00000000-0006-0000-0400-000001000000}">
      <text>
        <r>
          <rPr>
            <sz val="8"/>
            <color indexed="81"/>
            <rFont val="Tahoma"/>
            <family val="2"/>
          </rPr>
          <t xml:space="preserve">
</t>
        </r>
        <r>
          <rPr>
            <sz val="10"/>
            <color indexed="81"/>
            <rFont val="Tahoma"/>
            <family val="2"/>
          </rPr>
          <t>This W/S is used to evaluate the losses associated with the ground station and spacecraft transmitter systems.
The operator first enters the transmitter power output in watts.  The W/S provides the power converted to dBm and dBW.  The subsequent W/Ss will use dBW.  
The operator must then estimate the line lengths for all of the cables in series between the transmitter and the antenna.  Line losses can also be determined by using the "Line Loss Toos &amp; Tables" W/S near the end of this workbook.  The operator then must enter the estimated insertion losses for any filters, directional couplers, hybrids or other devices used in-line between the transmitter and the antenna.
The W/S calculates the total line losses and the power that is actually delivered to the antennas.
Once you know the losses of your transmitter systems and the power delivered to the antennas move on to the "Receivers" W/S.</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C6" authorId="0" shapeId="0" xr:uid="{00000000-0006-0000-0500-000001000000}">
      <text>
        <r>
          <rPr>
            <sz val="10"/>
            <color indexed="81"/>
            <rFont val="Tahoma"/>
            <family val="2"/>
          </rPr>
          <t xml:space="preserve">
This W/S is used to evalute the losses, noise temperatures and overall performance of the spacecraft and ground station receivers.
The analysis begins by explaining how the total noise temperature of the receiver system is calculated from the individual temperatures and losses that are known.  Just as with the transmitter system, the individual losses of all lines and in-line components must be known, determined or estimated.  The W/S will walk the operator though each entry that is required.  Cable losses may also be determined by using the "Line Loss Tool &amp; Tables" W/S located near the end of the workbook.
There are two separate work areas here.  One is for the spacecraft command receiver and the second is for the ground station telemetry receiver.  
The "bottom line" of this W/S is the system noise temperature for each receiver.  
Two tools are also provided in this W/S.  The first allows you to translate from Noise Figure to Noise Temperature or the reverse.  The second is a tool to be used for estimating the sky temperature of a ground receiver.
Once you have determined the noise temperature for your receivers move on to the "Antenna Gain" W/S.</t>
        </r>
      </text>
    </comment>
    <comment ref="I28" authorId="0" shapeId="0" xr:uid="{19057D22-365F-4FA8-A2C9-AF54F2B624E3}">
      <text>
        <r>
          <rPr>
            <sz val="10"/>
            <color indexed="81"/>
            <rFont val="Tahoma"/>
            <family val="2"/>
          </rPr>
          <t xml:space="preserve">
In the equation given here, the gain of the LNA should be expressed in its "unlogged" form (e.g. an amplifier with a gain of 20 dB has a linear gain of 100).  If you know the gain of the amplifier in dB then to get the linear gain:  G=10^((Gain in dB)/10).  This worksheet allows you to enter the gain of the LNA in dB and it calculates the linear gain for you.
NOTE:  A classic error made by beginners is to assume that the system performance is increased directly by the gain of the low noise amplifier.  This is incorrect.  Fundamentally, the noise produced by the amplifier can be thought of as being ahead of the gain.  Therefore, the gain of the amplifier increases both the signal and the noise proportionately.  There is a small improvement in overall performance (S/N or Eb/No) given by the gain of the LNA, as can be seen in the last term of the above equation.  But, the amount of this advantage is also dependent upon the noise termperature of the 2nd stage.  For a modern system, the net improvement for, say, a X10 gain increase (10 dB) is usually only a few degrees K, if that.  This is an undetectable improvement.  See for yourself by trying examples using this worksheet.</t>
        </r>
        <r>
          <rPr>
            <sz val="8"/>
            <color indexed="81"/>
            <rFont val="Tahoma"/>
            <family val="2"/>
          </rPr>
          <t xml:space="preserve">
</t>
        </r>
      </text>
    </comment>
    <comment ref="V45" authorId="0" shapeId="0" xr:uid="{1DBDF25B-94CA-4B96-A1AF-2BB435A966AF}">
      <text>
        <r>
          <rPr>
            <sz val="8"/>
            <color indexed="81"/>
            <rFont val="Tahoma"/>
            <family val="2"/>
          </rPr>
          <t xml:space="preserve">
</t>
        </r>
        <r>
          <rPr>
            <sz val="10"/>
            <color indexed="81"/>
            <rFont val="Tahoma"/>
            <family val="2"/>
          </rPr>
          <t>The</t>
        </r>
        <r>
          <rPr>
            <sz val="8"/>
            <color indexed="81"/>
            <rFont val="Tahoma"/>
            <family val="2"/>
          </rPr>
          <t xml:space="preserve"> </t>
        </r>
        <r>
          <rPr>
            <sz val="10"/>
            <color indexed="81"/>
            <rFont val="Tahoma"/>
            <family val="2"/>
          </rPr>
          <t>performance of a low noise amplifier (LNA) [also called a preamplifier] is often expressed in two forms:  It's noise figure (NF) in dB or it's noise</t>
        </r>
        <r>
          <rPr>
            <sz val="8"/>
            <color indexed="81"/>
            <rFont val="Tahoma"/>
            <family val="2"/>
          </rPr>
          <t xml:space="preserve"> </t>
        </r>
        <r>
          <rPr>
            <sz val="10"/>
            <color indexed="81"/>
            <rFont val="Tahoma"/>
            <family val="2"/>
          </rPr>
          <t>temperature in</t>
        </r>
        <r>
          <rPr>
            <sz val="8"/>
            <color indexed="81"/>
            <rFont val="Tahoma"/>
            <family val="2"/>
          </rPr>
          <t xml:space="preserve"> </t>
        </r>
        <r>
          <rPr>
            <sz val="10"/>
            <color indexed="81"/>
            <rFont val="Arial"/>
            <family val="2"/>
          </rPr>
          <t>°</t>
        </r>
        <r>
          <rPr>
            <sz val="10"/>
            <color indexed="81"/>
            <rFont val="Tahoma"/>
            <family val="2"/>
          </rPr>
          <t>K</t>
        </r>
        <r>
          <rPr>
            <sz val="8"/>
            <color indexed="81"/>
            <rFont val="Tahoma"/>
            <family val="2"/>
          </rPr>
          <t xml:space="preserve">.  </t>
        </r>
        <r>
          <rPr>
            <sz val="10"/>
            <color indexed="81"/>
            <rFont val="Tahoma"/>
            <family val="2"/>
          </rPr>
          <t>The translation between the two</t>
        </r>
        <r>
          <rPr>
            <sz val="8"/>
            <color indexed="81"/>
            <rFont val="Tahoma"/>
            <family val="2"/>
          </rPr>
          <t xml:space="preserve"> </t>
        </r>
        <r>
          <rPr>
            <sz val="10"/>
            <color indexed="81"/>
            <rFont val="Tahoma"/>
            <family val="2"/>
          </rPr>
          <t>depends upon the reference temperature of the</t>
        </r>
        <r>
          <rPr>
            <sz val="8"/>
            <color indexed="81"/>
            <rFont val="Tahoma"/>
            <family val="2"/>
          </rPr>
          <t xml:space="preserve"> </t>
        </r>
        <r>
          <rPr>
            <sz val="10"/>
            <color indexed="81"/>
            <rFont val="Tahoma"/>
            <family val="2"/>
          </rPr>
          <t>system (</t>
        </r>
        <r>
          <rPr>
            <b/>
            <sz val="10"/>
            <color indexed="81"/>
            <rFont val="Tahoma"/>
            <family val="2"/>
          </rPr>
          <t>T</t>
        </r>
        <r>
          <rPr>
            <b/>
            <sz val="8"/>
            <color indexed="81"/>
            <rFont val="Tahoma"/>
            <family val="2"/>
          </rPr>
          <t>o</t>
        </r>
        <r>
          <rPr>
            <sz val="10"/>
            <color indexed="81"/>
            <rFont val="Tahoma"/>
            <family val="2"/>
          </rPr>
          <t xml:space="preserve">).  </t>
        </r>
        <r>
          <rPr>
            <b/>
            <sz val="10"/>
            <color indexed="81"/>
            <rFont val="Tahoma"/>
            <family val="2"/>
          </rPr>
          <t>T</t>
        </r>
        <r>
          <rPr>
            <b/>
            <sz val="8"/>
            <color indexed="81"/>
            <rFont val="Tahoma"/>
            <family val="2"/>
          </rPr>
          <t>o</t>
        </r>
        <r>
          <rPr>
            <sz val="10"/>
            <color indexed="81"/>
            <rFont val="Tahoma"/>
            <family val="2"/>
          </rPr>
          <t xml:space="preserve"> can be selected in Cell [J59].  For convenience, it is re-displayed at Cell [U56].
</t>
        </r>
        <r>
          <rPr>
            <sz val="8"/>
            <color indexed="81"/>
            <rFont val="Tahoma"/>
            <family val="2"/>
          </rPr>
          <t xml:space="preserve">
</t>
        </r>
        <r>
          <rPr>
            <sz val="10"/>
            <color indexed="81"/>
            <rFont val="Tahoma"/>
            <family val="2"/>
          </rPr>
          <t xml:space="preserve">This calculator allows you to translate from one parmeter to the other, depending upon which parameter is specified to you. </t>
        </r>
      </text>
    </comment>
    <comment ref="G59" authorId="0" shapeId="0" xr:uid="{00000000-0006-0000-0500-000004000000}">
      <text>
        <r>
          <rPr>
            <sz val="10"/>
            <color indexed="81"/>
            <rFont val="Tahoma"/>
            <family val="2"/>
          </rPr>
          <t xml:space="preserve">
The Sky Temperature as seen by a spacecraft must be viewed from it's unique perspective.  The antenna at the spacecraft "sees" within it's beamwidth (or it's "field-of-view") two possible components:
     - The sky itself which is nominally at 2.7 K but, at  frequencies below 2 GHz also includes galactic noise (see note at Cell [G128]) which explains how much higher values can occur).  
     - The  Earth.  The average Earth temperature used is 290K, however, the Earth may be "warmer" due to man-made noise sources that can be distributed on the surface of the planet.  This is particularly true at lower frequencies in the VHF-UHF range.  The actual value that should be used for the Earth temperature is not well understood but, it certainly varies with location and time.
There is a math exercise to be accomplished here.  The spacecraft's Sky Temperature value must be computed as follows.  Determine the fraction of the antenna's beamwidth that is filled by the Earth.  This fraction of the field-of-view is given a value of (at least) 290K.  Then determine the fractional remainder of the antenna field-of-view.  It will see the actual sky, which is either taken to be 2.7K at frequencies above 2 GHz or some higher value due to Galactic noise at lower frequencies.  The sky temperature will be the weighted average of these two noise components. [For example, if 25% of a particular spacecraft antenna's field-of-view included the Earth (at 290K) and 75% of the antenna's field-of-view saw cold sky (at 2.7K) then the Sky Temperature for the spacecraft would be .25(290K)+.75(2.7K) = 74.5 K].  To do this properly, of course, involves Integral Calculus, taking into account the antenna pattern roll-off characteristics and the variations in antenna temperature over the sky within the field of view.  Typically, however, simpler mathematical estimates, as given above, are used.
A special case that arises frequently is that of a geostationary satellite using a spot beam antenna that has 100% of it's field-of-view filled by the Earth's surface.  In this case the first order Sky Temperature value is simply 290K.  However, when the spot beam gets small enough that it illuminates "features" of the Earth's surface, then determining the local physical temperature of the Earth could have some meaning.  This fine structure exercise, however, is likely not to be productive.  Just use a value of 290K.  
</t>
        </r>
        <r>
          <rPr>
            <sz val="8"/>
            <color indexed="81"/>
            <rFont val="Tahoma"/>
            <family val="2"/>
          </rPr>
          <t xml:space="preserve">
</t>
        </r>
      </text>
    </comment>
    <comment ref="I99" authorId="0" shapeId="0" xr:uid="{49D809CA-C225-4B5A-BAA2-56F7D48BA9F6}">
      <text>
        <r>
          <rPr>
            <sz val="8"/>
            <color indexed="81"/>
            <rFont val="Tahoma"/>
            <family val="2"/>
          </rPr>
          <t xml:space="preserve">
</t>
        </r>
        <r>
          <rPr>
            <sz val="10"/>
            <color indexed="81"/>
            <rFont val="Tahoma"/>
            <family val="2"/>
          </rPr>
          <t>In the equation used, the gain of the LNA should be expressed in its "unlogged" form (e.g. an amplifier with a gain of 20 dB has a linear gain of 100).  If you know the gain of the amplifier in dB then to get the linear gain:  G=10^((Gain in dB)/10).  This worksheet allows you to enter the gain of the LNA in dB and it calculates the linear gain for you.
NOTE:  A classical error made by beginners is to assume that the system performance is increased directly by the gain of the low noise amplifier.  This is incorrect.  There is a small improvement in overall performance given by the gain of the LNA as can be seen in the last term of the above equation.  But, the amount of this advantage is also dependent upon the noise termperature of the 2nd stage.  For a modern system, the net improvement for, say, a X10 gain increase is usually only a few degrees K, if that.  This is an undetectable improvement.</t>
        </r>
        <r>
          <rPr>
            <sz val="8"/>
            <color indexed="81"/>
            <rFont val="Tahoma"/>
            <family val="2"/>
          </rPr>
          <t xml:space="preserve">
</t>
        </r>
      </text>
    </comment>
    <comment ref="H107" authorId="0" shapeId="0" xr:uid="{02094698-0D6F-4B8C-966A-0806F60B2D5D}">
      <text>
        <r>
          <rPr>
            <sz val="8"/>
            <color indexed="81"/>
            <rFont val="Tahoma"/>
            <family val="2"/>
          </rPr>
          <t xml:space="preserve">
</t>
        </r>
        <r>
          <rPr>
            <sz val="10"/>
            <color indexed="81"/>
            <rFont val="Tahoma"/>
            <family val="2"/>
          </rPr>
          <t xml:space="preserve">The greatest improvement in downlink system performance can be made at this location within the receiver chain.  The line losses beween the antenna and the Preamplifier (LNA) should be minimized by locating the LNA directly at the feed point of the antenna, if at all possible.  Any cable used should be of high quality and the VSWR of the antenna should be as close to 1:1 as possible.  
It is, however, highly desireable to also include a bandpass filter just in front of the LNA.  This reduces out-of-band signal interference which can otherwise desense the LNA.  The fliter, however, also has an in-band insertion loss which must be accounted for in the losses between the antenna and the LNA.  
</t>
        </r>
      </text>
    </comment>
    <comment ref="P129" authorId="0" shapeId="0" xr:uid="{B42A8CF8-822A-4AE1-8156-59CC539C145D}">
      <text>
        <r>
          <rPr>
            <sz val="8"/>
            <color indexed="81"/>
            <rFont val="Tahoma"/>
            <family val="2"/>
          </rPr>
          <t xml:space="preserve">
</t>
        </r>
        <r>
          <rPr>
            <sz val="10"/>
            <color indexed="81"/>
            <rFont val="Tahoma"/>
            <family val="2"/>
          </rPr>
          <t>Using a spectrum analyzer or the receiver's signal stregth meter, try to determine the noise power from the terrestrial source generating the noise.  The receiver's "white noise" floor, set by it's own LNA is likely to be in the range -130 to -140 dBm in a 10 kHz bandwidth.  This is the noise you would "hear" with no interference and listening to the receiver speaker or on headphones.  You can determine this level by removing the antenna from the LNA input and replacing it with a 50 ohm dummy load (resistor).  You will only be able to measure the terrestrial noise source if the terrestrial noise source power is considerably above the white noise floor set by the receiver's LNA.  If the terrestrial noise source is small or not detectable then you can ignore this contribution by setting the value here equal to (or less than) the recever's white noise floor power level set by it's LNA (P = k x T</t>
        </r>
        <r>
          <rPr>
            <sz val="8"/>
            <color indexed="81"/>
            <rFont val="Tahoma"/>
            <family val="2"/>
          </rPr>
          <t xml:space="preserve">LNA x </t>
        </r>
        <r>
          <rPr>
            <sz val="10"/>
            <color indexed="81"/>
            <rFont val="Tahoma"/>
            <family val="2"/>
          </rPr>
          <t>B).</t>
        </r>
      </text>
    </comment>
    <comment ref="G130" authorId="0" shapeId="0" xr:uid="{8403FC20-DCAE-4615-BCD7-8D25EFDFA6C6}">
      <text>
        <r>
          <rPr>
            <sz val="10"/>
            <color indexed="81"/>
            <rFont val="Tahoma"/>
            <family val="2"/>
          </rPr>
          <t xml:space="preserve">
For a ground station antenna the Sky Temperature value must include not only the noise intercepted by the ground station antenna coming from the colder sky into which the antenna is looking but, it has to include any terrestrially generated noise that may be generated in the proximity of the station.  This noise, most likely enters the system via the sidelobes of the ground station antenna.  This condition is worst when the ground station antenna is at low elevation angles and pointed in the direction of the source of the noise.  Under these conditions the full gain of the antenna "sees" the noise source at maximum "temperature."  On campuses around the world these days, the largest source of "sky noise" is generated by the sum of all computers that are within "radio range" of the ground station.  Finding and eliminating these sources of noise is a major component of the ground station design process.</t>
        </r>
        <r>
          <rPr>
            <sz val="8"/>
            <color indexed="81"/>
            <rFont val="Tahoma"/>
            <family val="2"/>
          </rPr>
          <t xml:space="preserve">
</t>
        </r>
        <r>
          <rPr>
            <sz val="10"/>
            <color indexed="81"/>
            <rFont val="Tahoma"/>
            <family val="2"/>
          </rPr>
          <t>At VHF frequencies (and to a lesser extent, at UHF frequencies) galactic noise can be observed even with small antennas.  The sky brightness is highest in directions that intercept the disk (or plane) of the Milky Way.  At 146 MHz this value can be as high as 1700K and as low as 80K.  For more information regading this source of noise see Ippolito, Louis J., "</t>
        </r>
        <r>
          <rPr>
            <i/>
            <sz val="10"/>
            <color indexed="81"/>
            <rFont val="Tahoma"/>
            <family val="2"/>
          </rPr>
          <t>Radio Propagation in Satellite Communications,"</t>
        </r>
        <r>
          <rPr>
            <sz val="10"/>
            <color indexed="81"/>
            <rFont val="Tahoma"/>
            <family val="2"/>
          </rPr>
          <t xml:space="preserve"> Van Norstrand Reinhold, pp. 136-138.</t>
        </r>
      </text>
    </comment>
    <comment ref="G138" authorId="0" shapeId="0" xr:uid="{19AB8A21-86E0-4AC7-B141-C6A73C261EE6}">
      <text>
        <r>
          <rPr>
            <sz val="8"/>
            <color indexed="81"/>
            <rFont val="Tahoma"/>
            <family val="2"/>
          </rPr>
          <t xml:space="preserve">
</t>
        </r>
        <r>
          <rPr>
            <sz val="10"/>
            <color indexed="81"/>
            <rFont val="Tahoma"/>
            <family val="2"/>
          </rPr>
          <t xml:space="preserve">This is the cable run from the output of the Preamplifier (LNA), down the tower, to the ground station and terminating at the input to the Communications Receiver.  This cable has a moderate impact on the overall noise temperature of the system and should be a high quality, low loss cable.  The loss of this cable is modeled as a reduction in the gain of the preamplifier.  This loss and the noise temperature of the Communications Receiver have a small but, measureable impact on the system noise temperature.  The temperature effects at this location in the receiver chain may be improved by 1) increasing the gain of the LNA, 2) reducing the feedline loss or 3) improving the noise figure or temperature of the Communicaitons Receiver's first stage of gain.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5" authorId="0" shapeId="0" xr:uid="{00000000-0006-0000-0600-000001000000}">
      <text>
        <r>
          <rPr>
            <sz val="8"/>
            <color indexed="81"/>
            <rFont val="Tahoma"/>
            <family val="2"/>
          </rPr>
          <t xml:space="preserve">
</t>
        </r>
        <r>
          <rPr>
            <sz val="10"/>
            <color indexed="81"/>
            <rFont val="Tahoma"/>
            <family val="2"/>
          </rPr>
          <t xml:space="preserve">This W/S takes some explaining.  Most spacecraft links are made or broken by the antennas used to support them.  Transmitters and receivers are quite straight-forward devices (in link modeling terms); antennas are not.  Several of the W/Ss here address various properties of antennas.  This W/S addresses the properties known as </t>
        </r>
        <r>
          <rPr>
            <i/>
            <sz val="10"/>
            <color indexed="81"/>
            <rFont val="Tahoma"/>
            <family val="2"/>
          </rPr>
          <t>gain</t>
        </r>
        <r>
          <rPr>
            <sz val="10"/>
            <color indexed="81"/>
            <rFont val="Tahoma"/>
            <family val="2"/>
          </rPr>
          <t xml:space="preserve"> and </t>
        </r>
        <r>
          <rPr>
            <i/>
            <sz val="10"/>
            <color indexed="81"/>
            <rFont val="Tahoma"/>
            <family val="2"/>
          </rPr>
          <t>directivity</t>
        </r>
        <r>
          <rPr>
            <sz val="10"/>
            <color indexed="81"/>
            <rFont val="Tahoma"/>
            <family val="2"/>
          </rPr>
          <t xml:space="preserve">.  The </t>
        </r>
        <r>
          <rPr>
            <i/>
            <sz val="10"/>
            <color indexed="81"/>
            <rFont val="Tahoma"/>
            <family val="2"/>
          </rPr>
          <t>directivity</t>
        </r>
        <r>
          <rPr>
            <sz val="10"/>
            <color indexed="81"/>
            <rFont val="Tahoma"/>
            <family val="2"/>
          </rPr>
          <t xml:space="preserve"> of antenna is a measure of how the antenna concentrates the transmitter's power in a particular direction in relation to some coordinate system fixed on the antenna.  The directivity of a highly directive antenna is typically taken to be the peak value (sometimes called the boresight directivity).  It is usually measured as the ratio of the power directed in the peak direction divided by the same power when it is radiated isotropically (i.e., equally in all directions).  Some antennas will have losses associated with getting the power from the antenna input to the radiating element.  The</t>
        </r>
        <r>
          <rPr>
            <i/>
            <sz val="10"/>
            <color indexed="81"/>
            <rFont val="Tahoma"/>
            <family val="2"/>
          </rPr>
          <t xml:space="preserve"> gain</t>
        </r>
        <r>
          <rPr>
            <sz val="10"/>
            <color indexed="81"/>
            <rFont val="Tahoma"/>
            <family val="2"/>
          </rPr>
          <t xml:space="preserve"> of an antenna is the directivity (measured in dB above an isotropic radiator [dBi]) minus the antenna feed losses (also measured in dB).  It is sometimes important to be able to make the distinction between directivity and gain.  And, frequently they are confused with one another.  For satellite systems operating in the amateur satellite service the term </t>
        </r>
        <r>
          <rPr>
            <i/>
            <sz val="10"/>
            <color indexed="81"/>
            <rFont val="Tahoma"/>
            <family val="2"/>
          </rPr>
          <t>gain</t>
        </r>
        <r>
          <rPr>
            <sz val="10"/>
            <color indexed="81"/>
            <rFont val="Tahoma"/>
            <family val="2"/>
          </rPr>
          <t xml:space="preserve"> is more frequently used.
This W/S provides the operator with antenna options for both the ground station and the spacecraft.  You should be able to pick among them and find one that is similar to what you will use in your system.  If you are using something different, you may choose the "User Defined" option which is either 4 or 5 depending on if the antenna is a ground station or a spacecraft antenna.  Then, you must enter in the gain and beamwidth of the antenna (basically, you must fill in the missing blue values).  So the first action for the operator is to select a generic antenna type for uplink and downlink, spacecraft and ground station.  Thus, four antennas are involved in your system (at least).  If you are using a simplex satellite transciever, you may technically have only three antennas.  So, in this worksheet enter both spacecraft antennas as being the same.  The next step is quite eduacational.  For the ground station you may design your antenna using the basic parameters given in the various tables in this worksheet.  As always, modify only the blue text cells.  For example,  a crossed yagi antenna is designed here by simply selecting the length of the antenna in wavelengths.  The number of elements required in each plane and the antenna gain and beamwidth are derived in the table.  [BTW, for a yagi design, the gain values achieved here are slightly on the optimistic side, based on experience].  In order to design a helix, you will need to input the number of turns to be used, the turn spacing and the diameter of the helix in wavelengths.  The outputs are the gain and the beamwidth.  For a parabolic reflector (dish) the inputs are the dish diameter and the aperture illumination efficiency.  The outputs are again, gain and beamwidth.  The frequency used in all cases is the one you selected in the "Orbit &amp; Frequency" W/S.  
For spacecraft antennas there are a total of seven options provided.  Option 6 is provided so that the link model operator has at least one high gain spacecraft antenna option.  You may model other high gain antennas as though they were a "dish" antenna by adjusting the diameter and/or aperture efficiency of the dish until the desired gain of your actual antenna is achieved.   Option 7 is a user defined option.  You must provide the gain and beamwidth values for the antenna you choose in Cells H32 and L32 for the uplink (and Cells H49 and L49 for the downlink) respectively.   For the spacecraft antennas there are no user definable design parametes, except for the parabolic reflector (see NOTE at Cell G31).  As most of the options available are primarily omni antennas, their designs are fairly fixed.  That's not entirely true for antennas like the quadrifilar helix, however, as the number of fractional turns and the L/D of the antenna does result in different (and very interesting) pattern properties.   The quadrifilar antenna selected here (Option 4) is a half-turn version which gives an excellent hemispherical pattern with a good axial ratio over the entire hemisphere.  In summary, for the spacecraft antennas the operator simply picks an antenna type per your own spacecraft design.   This is done by entering an option number (1-7).
In the end, you will have selected four antennas for your system.  In the case of the ground station you will have "designed" their gain and beamwidth.  Now move on to the next W/S:  "Antenna Pointing Losses." </t>
        </r>
      </text>
    </comment>
    <comment ref="K11" authorId="0" shapeId="0" xr:uid="{00000000-0006-0000-0600-000002000000}">
      <text>
        <r>
          <rPr>
            <sz val="8"/>
            <color indexed="81"/>
            <rFont val="Tahoma"/>
            <family val="2"/>
          </rPr>
          <t xml:space="preserve">Operator Enter RHCP, LHCP, Linear 
NOTE:  Linear antennas are discouraged.
</t>
        </r>
      </text>
    </comment>
    <comment ref="K24" authorId="0" shapeId="0" xr:uid="{00000000-0006-0000-0600-000003000000}">
      <text>
        <r>
          <rPr>
            <sz val="8"/>
            <color indexed="81"/>
            <rFont val="Tahoma"/>
            <family val="2"/>
          </rPr>
          <t xml:space="preserve">Operator Enter RHCP, LHCP or Linear 
</t>
        </r>
      </text>
    </comment>
    <comment ref="G31" authorId="0" shapeId="0" xr:uid="{00000000-0006-0000-0600-000004000000}">
      <text>
        <r>
          <rPr>
            <sz val="10"/>
            <color indexed="81"/>
            <rFont val="Tahoma"/>
            <family val="2"/>
          </rPr>
          <t>Link Model Operator Must Set Antenna Parameters at Cells T31 and V31.</t>
        </r>
        <r>
          <rPr>
            <sz val="8"/>
            <color indexed="81"/>
            <rFont val="Tahoma"/>
            <family val="2"/>
          </rPr>
          <t xml:space="preserve">
</t>
        </r>
      </text>
    </comment>
    <comment ref="K31" authorId="0" shapeId="0" xr:uid="{00000000-0006-0000-0600-000005000000}">
      <text>
        <r>
          <rPr>
            <sz val="10"/>
            <color indexed="81"/>
            <rFont val="Tahoma"/>
            <family val="2"/>
          </rPr>
          <t>Link Mode Operator Must Set Antenna Parameters at Cells T31 and V31.</t>
        </r>
        <r>
          <rPr>
            <sz val="8"/>
            <color indexed="81"/>
            <rFont val="Tahoma"/>
            <family val="2"/>
          </rPr>
          <t xml:space="preserve">
</t>
        </r>
      </text>
    </comment>
    <comment ref="K41" authorId="0" shapeId="0" xr:uid="{00000000-0006-0000-0600-000006000000}">
      <text>
        <r>
          <rPr>
            <sz val="8"/>
            <color indexed="81"/>
            <rFont val="Tahoma"/>
            <family val="2"/>
          </rPr>
          <t xml:space="preserve">Operator Enter RHCP, LHCP or Linear 
</t>
        </r>
      </text>
    </comment>
    <comment ref="G48" authorId="0" shapeId="0" xr:uid="{00000000-0006-0000-0600-000007000000}">
      <text>
        <r>
          <rPr>
            <sz val="10"/>
            <color indexed="81"/>
            <rFont val="Tahoma"/>
            <family val="2"/>
          </rPr>
          <t>Link Model Operator Must Set Antenna Parameters at Cells T48 and V48.</t>
        </r>
        <r>
          <rPr>
            <sz val="8"/>
            <color indexed="81"/>
            <rFont val="Tahoma"/>
            <family val="2"/>
          </rPr>
          <t xml:space="preserve">
</t>
        </r>
      </text>
    </comment>
    <comment ref="K48" authorId="0" shapeId="0" xr:uid="{00000000-0006-0000-0600-000008000000}">
      <text>
        <r>
          <rPr>
            <sz val="10"/>
            <color indexed="81"/>
            <rFont val="Tahoma"/>
            <family val="2"/>
          </rPr>
          <t>Link Model Operator Must Set Antenna Parameters at Cells T48 and V48.</t>
        </r>
        <r>
          <rPr>
            <sz val="8"/>
            <color indexed="81"/>
            <rFont val="Tahoma"/>
            <family val="2"/>
          </rPr>
          <t xml:space="preserve">
</t>
        </r>
      </text>
    </comment>
    <comment ref="K58" authorId="0" shapeId="0" xr:uid="{00000000-0006-0000-0600-000009000000}">
      <text>
        <r>
          <rPr>
            <sz val="8"/>
            <color indexed="81"/>
            <rFont val="Tahoma"/>
            <family val="2"/>
          </rPr>
          <t xml:space="preserve">Operator Enter RHCP, LHCP or Linear 
NOTE:  Linear antennas are discouraged.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3" authorId="0" shapeId="0" xr:uid="{00000000-0006-0000-0700-000001000000}">
      <text>
        <r>
          <rPr>
            <sz val="8"/>
            <color indexed="81"/>
            <rFont val="Tahoma"/>
            <family val="2"/>
          </rPr>
          <t xml:space="preserve">
</t>
        </r>
        <r>
          <rPr>
            <sz val="10"/>
            <color indexed="81"/>
            <rFont val="Tahoma"/>
            <family val="2"/>
          </rPr>
          <t>This W/S also deals with spacecraft and ground station antennas.  In this case, we are looking at how the directivity (or gain) of an antenna changes as we move away from the antenna's direction of peak gain.  It is typical to refer to the antenna's loss in gain, as it might be viewed from a distant location and as the antenna is rotated relative to the observer, to be the gain "roll-off" of the antenna.  If the antenna gain used in the link analysis is the peak gain of the antenna (and it always is) then any roll-off (typically measured in dB) is considered a loss. The beamwidth of an antenna is typically taken to be twice the angle between the boresight and the direction where the power has a roll-off value of a factor of 2 (that is, -3 dB).  
The gain of an antenna, as a function of some angle (</t>
        </r>
        <r>
          <rPr>
            <sz val="10"/>
            <color indexed="81"/>
            <rFont val="Arial"/>
            <family val="2"/>
          </rPr>
          <t>θ</t>
        </r>
        <r>
          <rPr>
            <sz val="10"/>
            <color indexed="81"/>
            <rFont val="Tahoma"/>
            <family val="2"/>
          </rPr>
          <t xml:space="preserve">) away from the boresight, must be expressed by assigning a coordinate system into which the antenna is placed.  In the case of a spacecraft antenna, which is more-or-less omnidirectional, we primarily care about the location of the antenna with respect to some symmetry axis of the satellite.  Figures 1 and 2 here, define the overall geometry of the uplink and downlink and the antenna placements assumed in this link model.    
</t>
        </r>
        <r>
          <rPr>
            <b/>
            <u/>
            <sz val="10"/>
            <color indexed="81"/>
            <rFont val="Tahoma"/>
            <family val="2"/>
          </rPr>
          <t>Ground Station Antennas:</t>
        </r>
        <r>
          <rPr>
            <sz val="10"/>
            <color indexed="81"/>
            <rFont val="Tahoma"/>
            <family val="2"/>
          </rPr>
          <t xml:space="preserve">  For the uplink, the pointing loss of the ground station antenna is due to an error in pointing,</t>
        </r>
        <r>
          <rPr>
            <b/>
            <sz val="10"/>
            <color indexed="81"/>
            <rFont val="Arial"/>
            <family val="2"/>
          </rPr>
          <t>θ1</t>
        </r>
        <r>
          <rPr>
            <sz val="10"/>
            <color indexed="81"/>
            <rFont val="Tahoma"/>
            <family val="2"/>
          </rPr>
          <t xml:space="preserve">.  The antenna is always operated close to the boresight and the gain roll-off starts off slowly but then rapidly increases.  The angle is measured realative to the boresight direction.  It doesn't usually matter much in which direction the angle varies with respect to the boresight (e.g., in azimuth or in elevation).  The gain of this class of antennas usually falls off in the same manner regardless of the error direction.  Some high gain antenna arrays such as fan beam antennas and offset fed dishes do not have this symmetry property around the boresight so, this comment can't be totally generalized.  If such antennas are employed, a more complex model might be warrented.  </t>
        </r>
        <r>
          <rPr>
            <b/>
            <sz val="10"/>
            <color indexed="81"/>
            <rFont val="Arial"/>
            <family val="2"/>
          </rPr>
          <t>θ</t>
        </r>
        <r>
          <rPr>
            <b/>
            <sz val="8"/>
            <color indexed="81"/>
            <rFont val="Tahoma"/>
            <family val="2"/>
          </rPr>
          <t xml:space="preserve">4 </t>
        </r>
        <r>
          <rPr>
            <sz val="10"/>
            <color indexed="81"/>
            <rFont val="Tahoma"/>
            <family val="2"/>
          </rPr>
          <t xml:space="preserve">on the downlink is defined in exactly the same manner as </t>
        </r>
        <r>
          <rPr>
            <b/>
            <sz val="10"/>
            <color indexed="81"/>
            <rFont val="Arial"/>
            <family val="2"/>
          </rPr>
          <t>θ</t>
        </r>
        <r>
          <rPr>
            <b/>
            <sz val="8"/>
            <color indexed="81"/>
            <rFont val="Tahoma"/>
            <family val="2"/>
          </rPr>
          <t>1</t>
        </r>
        <r>
          <rPr>
            <sz val="10"/>
            <color indexed="81"/>
            <rFont val="Tahoma"/>
            <family val="2"/>
          </rPr>
          <t xml:space="preserve">.  
</t>
        </r>
        <r>
          <rPr>
            <b/>
            <u/>
            <sz val="10"/>
            <color indexed="81"/>
            <rFont val="Tahoma"/>
            <family val="2"/>
          </rPr>
          <t>Spacecraft Antennas:</t>
        </r>
        <r>
          <rPr>
            <sz val="10"/>
            <color indexed="81"/>
            <rFont val="Tahoma"/>
            <family val="2"/>
          </rPr>
          <t xml:space="preserve">  On the spacecraft side, one doesn't typically think of the orientation of the spacecraft relative to the remote observer as being a pointing "error" for LEO systems.  Rather, we may think of the ground station observer to be at some vector orientation with respect to the spacecraft's coordinate system.  The spacecaft antenna itself must also be placed into that same coordinate sytsem.  For the uplink,</t>
        </r>
        <r>
          <rPr>
            <b/>
            <sz val="10"/>
            <color indexed="81"/>
            <rFont val="Tahoma"/>
            <family val="2"/>
          </rPr>
          <t xml:space="preserve"> </t>
        </r>
        <r>
          <rPr>
            <b/>
            <sz val="10"/>
            <color indexed="81"/>
            <rFont val="Arial"/>
            <family val="2"/>
          </rPr>
          <t>θ</t>
        </r>
        <r>
          <rPr>
            <b/>
            <sz val="8"/>
            <color indexed="81"/>
            <rFont val="Tahoma"/>
            <family val="2"/>
          </rPr>
          <t xml:space="preserve">2 </t>
        </r>
        <r>
          <rPr>
            <sz val="10"/>
            <color indexed="81"/>
            <rFont val="Tahoma"/>
            <family val="2"/>
          </rPr>
          <t xml:space="preserve">is a projection of the vector into one particular plane of the spacecraft.  Generally, it is a plane that contains the symmetry axis of the spacecraft system.  The specific orientation of each of the antenna options as they might be placed on the spacecraft are shown in Figure 3 through Figure 8.  Also shown in these figures is a rough, uncalibrated polar representation of the antenna gain relative to the spacecraft symmetry axis.  </t>
        </r>
        <r>
          <rPr>
            <b/>
            <sz val="10"/>
            <color indexed="81"/>
            <rFont val="Arial"/>
            <family val="2"/>
          </rPr>
          <t>θ</t>
        </r>
        <r>
          <rPr>
            <b/>
            <sz val="8"/>
            <color indexed="81"/>
            <rFont val="Tahoma"/>
            <family val="2"/>
          </rPr>
          <t>3</t>
        </r>
        <r>
          <rPr>
            <sz val="8"/>
            <color indexed="81"/>
            <rFont val="Tahoma"/>
            <family val="2"/>
          </rPr>
          <t xml:space="preserve"> </t>
        </r>
        <r>
          <rPr>
            <sz val="10"/>
            <color indexed="81"/>
            <rFont val="Tahoma"/>
            <family val="2"/>
          </rPr>
          <t xml:space="preserve">is defined in the same manner as </t>
        </r>
        <r>
          <rPr>
            <b/>
            <sz val="10"/>
            <color indexed="81"/>
            <rFont val="Arial"/>
            <family val="2"/>
          </rPr>
          <t>θ</t>
        </r>
        <r>
          <rPr>
            <b/>
            <sz val="8"/>
            <color indexed="81"/>
            <rFont val="Tahoma"/>
            <family val="2"/>
          </rPr>
          <t>2</t>
        </r>
        <r>
          <rPr>
            <sz val="10"/>
            <color indexed="81"/>
            <rFont val="Tahoma"/>
            <family val="2"/>
          </rPr>
          <t xml:space="preserve">.  </t>
        </r>
        <r>
          <rPr>
            <b/>
            <sz val="10"/>
            <color indexed="81"/>
            <rFont val="Tahoma"/>
            <family val="2"/>
          </rPr>
          <t xml:space="preserve"> It is important to note</t>
        </r>
        <r>
          <rPr>
            <sz val="10"/>
            <color indexed="81"/>
            <rFont val="Tahoma"/>
            <family val="2"/>
          </rPr>
          <t xml:space="preserve"> that all except one of the antenna options has a gain pattern that is symmetric with respect to the </t>
        </r>
        <r>
          <rPr>
            <b/>
            <sz val="10"/>
            <color indexed="81"/>
            <rFont val="Tahoma"/>
            <family val="2"/>
          </rPr>
          <t>Z</t>
        </r>
        <r>
          <rPr>
            <sz val="10"/>
            <color indexed="81"/>
            <rFont val="Tahoma"/>
            <family val="2"/>
          </rPr>
          <t>-axis of the spacecraft body.  The orientation of the antenna options provided are such that if one were to rotate the spacecraft about</t>
        </r>
        <r>
          <rPr>
            <b/>
            <sz val="10"/>
            <color indexed="81"/>
            <rFont val="Tahoma"/>
            <family val="2"/>
          </rPr>
          <t xml:space="preserve"> Z</t>
        </r>
        <r>
          <rPr>
            <sz val="10"/>
            <color indexed="81"/>
            <rFont val="Tahoma"/>
            <family val="2"/>
          </rPr>
          <t xml:space="preserve"> and maintain the projection of the angle to the remote observer in the fixed plane in which we are observing here, then the gain of the antenna would not change.   One antenna, the dipole is actually oriented differently.  It has been assumed that the dipole is mounted perpendicular to the spacecraft </t>
        </r>
        <r>
          <rPr>
            <b/>
            <sz val="10"/>
            <color indexed="81"/>
            <rFont val="Tahoma"/>
            <family val="2"/>
          </rPr>
          <t>Z</t>
        </r>
        <r>
          <rPr>
            <sz val="10"/>
            <color indexed="81"/>
            <rFont val="Tahoma"/>
            <family val="2"/>
          </rPr>
          <t>-axis.  In this one case, the projection of the angle toward the direction to the user cuts the pattern  differently, for any arbitrary rotation about</t>
        </r>
        <r>
          <rPr>
            <b/>
            <sz val="10"/>
            <color indexed="81"/>
            <rFont val="Tahoma"/>
            <family val="2"/>
          </rPr>
          <t xml:space="preserve"> Z</t>
        </r>
        <r>
          <rPr>
            <sz val="10"/>
            <color indexed="81"/>
            <rFont val="Tahoma"/>
            <family val="2"/>
          </rPr>
          <t xml:space="preserve">.  So, we must say that the gain given here is only valid if the remote observer vector were to lie in the </t>
        </r>
        <r>
          <rPr>
            <b/>
            <sz val="10"/>
            <color indexed="81"/>
            <rFont val="Tahoma"/>
            <family val="2"/>
          </rPr>
          <t>X-Z</t>
        </r>
        <r>
          <rPr>
            <sz val="10"/>
            <color indexed="81"/>
            <rFont val="Tahoma"/>
            <family val="2"/>
          </rPr>
          <t xml:space="preserve"> plane.  This particular plane will give the maxium variation in the link performance due to a rotation of the spacecraft.  All other "cuts" of the dipole gain will be less dramatic.  So, this placement for the dipole and the projection selected represents a worst case condition.
A new option (Option 6) has been added to this release of the link model.  It allows a higher gain antenna to be placed on the spacecraft in the event that the spacecraft being designed is in a MEO, HEO, GEO or a deep space orbit.  Option 6 assumes a dish antenna is to be used and that the roll-off of the antenna occurs as a sin</t>
        </r>
        <r>
          <rPr>
            <sz val="10"/>
            <color indexed="81"/>
            <rFont val="Symbol"/>
            <family val="1"/>
          </rPr>
          <t>q</t>
        </r>
        <r>
          <rPr>
            <sz val="10"/>
            <color indexed="81"/>
            <rFont val="Arial"/>
            <family val="2"/>
          </rPr>
          <t>²</t>
        </r>
        <r>
          <rPr>
            <sz val="10"/>
            <color indexed="81"/>
            <rFont val="Tahoma"/>
            <family val="2"/>
          </rPr>
          <t>/</t>
        </r>
        <r>
          <rPr>
            <sz val="10"/>
            <color indexed="81"/>
            <rFont val="Symbol"/>
            <family val="1"/>
          </rPr>
          <t>q</t>
        </r>
        <r>
          <rPr>
            <sz val="10"/>
            <color indexed="81"/>
            <rFont val="Arial"/>
            <family val="2"/>
          </rPr>
          <t>²</t>
        </r>
        <r>
          <rPr>
            <sz val="10"/>
            <color indexed="81"/>
            <rFont val="Tahoma"/>
            <family val="2"/>
          </rPr>
          <t xml:space="preserve"> function.  This roll-off rate will not be to terribly different from that of a yagi or helix antenna.  So, if you wish to place a high gain antenna on the spacecraft you may use Option 6 and adjust the gain of the dish to be the same as the antenna you will be using (such as a horn, yagi or helix).  The antenna pointing loss calculated should be close to the correct value for any selected pointing error.  The antenna is assumed to be placed on the +X surface of the spacecraft.</t>
        </r>
      </text>
    </comment>
    <comment ref="B30" authorId="0" shapeId="0" xr:uid="{00000000-0006-0000-0700-000002000000}">
      <text>
        <r>
          <rPr>
            <sz val="8"/>
            <color indexed="81"/>
            <rFont val="Tahoma"/>
            <family val="2"/>
          </rPr>
          <t xml:space="preserve">
</t>
        </r>
        <r>
          <rPr>
            <sz val="10"/>
            <color indexed="81"/>
            <rFont val="Tahoma"/>
            <family val="2"/>
          </rPr>
          <t>Notice that below are tables containing the same antenna options as have been presented in the "Antenna Gain" W/S.  However, you will also observe that the cells containing the option selection numbers now have</t>
        </r>
        <r>
          <rPr>
            <b/>
            <sz val="10"/>
            <color indexed="81"/>
            <rFont val="Tahoma"/>
            <family val="2"/>
          </rPr>
          <t xml:space="preserve"> black text</t>
        </r>
        <r>
          <rPr>
            <sz val="10"/>
            <color indexed="81"/>
            <rFont val="Tahoma"/>
            <family val="2"/>
          </rPr>
          <t xml:space="preserve">.  The tables are repated to provide the operator with a clear understanding of the key antenna characteristics already chosen while evaluating the antenna pointing errors and losses.  The operator must now select point errors for the ground station antennas and vector values for the direction of the ground station relative to the spacecraft coordinate system.  These are the angles </t>
        </r>
        <r>
          <rPr>
            <sz val="10"/>
            <color indexed="81"/>
            <rFont val="Arial"/>
            <family val="2"/>
          </rPr>
          <t>θ</t>
        </r>
        <r>
          <rPr>
            <sz val="8"/>
            <color indexed="81"/>
            <rFont val="Tahoma"/>
            <family val="2"/>
          </rPr>
          <t>1</t>
        </r>
        <r>
          <rPr>
            <sz val="10"/>
            <color indexed="81"/>
            <rFont val="Tahoma"/>
            <family val="2"/>
          </rPr>
          <t xml:space="preserve">, </t>
        </r>
        <r>
          <rPr>
            <sz val="10"/>
            <color indexed="81"/>
            <rFont val="Arial"/>
            <family val="2"/>
          </rPr>
          <t>θ</t>
        </r>
        <r>
          <rPr>
            <sz val="8"/>
            <color indexed="81"/>
            <rFont val="Tahoma"/>
            <family val="2"/>
          </rPr>
          <t>2</t>
        </r>
        <r>
          <rPr>
            <sz val="10"/>
            <color indexed="81"/>
            <rFont val="Tahoma"/>
            <family val="2"/>
          </rPr>
          <t xml:space="preserve">, </t>
        </r>
        <r>
          <rPr>
            <sz val="10"/>
            <color indexed="81"/>
            <rFont val="Arial"/>
            <family val="2"/>
          </rPr>
          <t>θ</t>
        </r>
        <r>
          <rPr>
            <sz val="8"/>
            <color indexed="81"/>
            <rFont val="Tahoma"/>
            <family val="2"/>
          </rPr>
          <t>3</t>
        </r>
        <r>
          <rPr>
            <sz val="10"/>
            <color indexed="81"/>
            <rFont val="Tahoma"/>
            <family val="2"/>
          </rPr>
          <t xml:space="preserve"> and </t>
        </r>
        <r>
          <rPr>
            <sz val="10"/>
            <color indexed="81"/>
            <rFont val="Arial"/>
            <family val="2"/>
          </rPr>
          <t>θ</t>
        </r>
        <r>
          <rPr>
            <sz val="8"/>
            <color indexed="81"/>
            <rFont val="Tahoma"/>
            <family val="2"/>
          </rPr>
          <t>4</t>
        </r>
        <r>
          <rPr>
            <sz val="10"/>
            <color indexed="81"/>
            <rFont val="Tahoma"/>
            <family val="2"/>
          </rPr>
          <t>.  The tables provide the pointing loss associated with these angle selections.  These loss values are then entered automatically into the "Uplink" and "Downlink" W/Ss.  
An interesting capability exists using this worksheet.  It is now possible to plot the resultant link performance, say the Eb/No, as a function of the ground station vector in the spacecraft coordinate system as the spacecraft rotates.  This allows one to determine over what fraction of 4</t>
        </r>
        <r>
          <rPr>
            <sz val="10"/>
            <color indexed="81"/>
            <rFont val="Symbol"/>
            <family val="1"/>
          </rPr>
          <t>p</t>
        </r>
        <r>
          <rPr>
            <sz val="10"/>
            <color indexed="81"/>
            <rFont val="Tahoma"/>
            <family val="2"/>
          </rPr>
          <t xml:space="preserve"> steradians the link will "close."
Once you have selected the four antenna pointing losses, move on to the "Antenna Polarization Loss" W/S.</t>
        </r>
      </text>
    </comment>
    <comment ref="R32" authorId="0" shapeId="0" xr:uid="{00000000-0006-0000-0700-000003000000}">
      <text>
        <r>
          <rPr>
            <b/>
            <sz val="8"/>
            <color indexed="81"/>
            <rFont val="Tahoma"/>
            <family val="2"/>
          </rPr>
          <t xml:space="preserve">
Please do not modify numbers or formulas in these columns.
</t>
        </r>
        <r>
          <rPr>
            <sz val="10"/>
            <color indexed="81"/>
            <rFont val="Tahoma"/>
            <family val="2"/>
          </rPr>
          <t xml:space="preserve">This column contains the functional relationships between the angles, </t>
        </r>
        <r>
          <rPr>
            <b/>
            <sz val="10"/>
            <color indexed="81"/>
            <rFont val="Arial"/>
            <family val="2"/>
          </rPr>
          <t>θ</t>
        </r>
        <r>
          <rPr>
            <b/>
            <sz val="8"/>
            <color indexed="81"/>
            <rFont val="Tahoma"/>
            <family val="2"/>
          </rPr>
          <t>1</t>
        </r>
        <r>
          <rPr>
            <sz val="10"/>
            <color indexed="81"/>
            <rFont val="Tahoma"/>
            <family val="2"/>
          </rPr>
          <t xml:space="preserve"> thru </t>
        </r>
        <r>
          <rPr>
            <b/>
            <sz val="10"/>
            <color indexed="81"/>
            <rFont val="Arial"/>
            <family val="2"/>
          </rPr>
          <t>θ</t>
        </r>
        <r>
          <rPr>
            <b/>
            <sz val="8"/>
            <color indexed="81"/>
            <rFont val="Tahoma"/>
            <family val="2"/>
          </rPr>
          <t xml:space="preserve">4 </t>
        </r>
        <r>
          <rPr>
            <sz val="10"/>
            <color indexed="81"/>
            <rFont val="Tahoma"/>
            <family val="2"/>
          </rPr>
          <t>and the gain roll-off.  The equations use a variety of forms and are taken from different sources.  
You SHOULD modify the equation at Cell R60 and/or Cell R82 if you specify your own "User Defined" antenna.  The equation you provide should define the antenna loss as a function of the viewing angle θ and in the appropriate spacecaft plane.  Currently "plugged" into these cells is data for an isotropically radiating antenna.</t>
        </r>
        <r>
          <rPr>
            <sz val="8"/>
            <color indexed="81"/>
            <rFont val="Tahoma"/>
            <family val="2"/>
          </rPr>
          <t xml:space="preserve">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6" authorId="0" shapeId="0" xr:uid="{00000000-0006-0000-0800-000001000000}">
      <text>
        <r>
          <rPr>
            <sz val="8"/>
            <color indexed="81"/>
            <rFont val="Tahoma"/>
            <family val="2"/>
          </rPr>
          <t xml:space="preserve">
</t>
        </r>
        <r>
          <rPr>
            <sz val="10"/>
            <color indexed="81"/>
            <rFont val="Tahoma"/>
            <family val="2"/>
          </rPr>
          <t xml:space="preserve">This worksheet also relates to antennas.  It focuses on characterizing the polarization properties of the ground station and spacecraft antennas.  An antenna may generate E-field and H-field radiation in a fixed relationship relative to the body of the antenna.  Such an antenna is charaterized as having </t>
        </r>
        <r>
          <rPr>
            <i/>
            <sz val="10"/>
            <color indexed="81"/>
            <rFont val="Tahoma"/>
            <family val="2"/>
          </rPr>
          <t>linear</t>
        </r>
        <r>
          <rPr>
            <sz val="10"/>
            <color indexed="81"/>
            <rFont val="Tahoma"/>
            <family val="2"/>
          </rPr>
          <t xml:space="preserve"> polarization.  If the E-field is oriented parallel to the local horizon on Earth the antenna is said to be </t>
        </r>
        <r>
          <rPr>
            <i/>
            <sz val="10"/>
            <color indexed="81"/>
            <rFont val="Tahoma"/>
            <family val="2"/>
          </rPr>
          <t>horizontally polarized</t>
        </r>
        <r>
          <rPr>
            <sz val="10"/>
            <color indexed="81"/>
            <rFont val="Tahoma"/>
            <family val="2"/>
          </rPr>
          <t xml:space="preserve">.  If the B-field is oriented parallel to the local horizon then the antenna is </t>
        </r>
        <r>
          <rPr>
            <i/>
            <sz val="10"/>
            <color indexed="81"/>
            <rFont val="Tahoma"/>
            <family val="2"/>
          </rPr>
          <t>vertically polarized</t>
        </r>
        <r>
          <rPr>
            <sz val="10"/>
            <color indexed="81"/>
            <rFont val="Tahoma"/>
            <family val="2"/>
          </rPr>
          <t>.  If two independent planes of elements are used in an antenna system and the power is divided equally between them and the elements are fed 90</t>
        </r>
        <r>
          <rPr>
            <sz val="10"/>
            <color indexed="81"/>
            <rFont val="Arial"/>
            <family val="2"/>
          </rPr>
          <t>°</t>
        </r>
        <r>
          <rPr>
            <sz val="9"/>
            <color indexed="81"/>
            <rFont val="Tahoma"/>
            <family val="2"/>
          </rPr>
          <t xml:space="preserve"> </t>
        </r>
        <r>
          <rPr>
            <sz val="10"/>
            <color indexed="81"/>
            <rFont val="Tahoma"/>
            <family val="2"/>
          </rPr>
          <t>out of phase from one another and if the elements are oriented perpendicular to one another, then a circularly polarized EM wave will be generated.  In such a case, the E-field and the H-field components of the wave will rotated in space as the EM field propagates away from the radiating antenna.  The rotation rate is at the carrier frequency.  So, a 100 MHz circularly polarized signal will make 100,000,000 full rotations per second.  If the phase of the first element leads the phase of the signal to the second element so as to generate a clockwise rotation as viewed from the back of the antenna, looking in the direction of the "launched" wave, then the polarization is said to have</t>
        </r>
        <r>
          <rPr>
            <i/>
            <sz val="10"/>
            <color indexed="81"/>
            <rFont val="Tahoma"/>
            <family val="2"/>
          </rPr>
          <t xml:space="preserve"> right hand circular polarization </t>
        </r>
        <r>
          <rPr>
            <sz val="10"/>
            <color indexed="81"/>
            <rFont val="Tahoma"/>
            <family val="2"/>
          </rPr>
          <t>(RHCP).  If the phase is swapped, then the rotation will be counter-clockwise in the same reference system and the antenna is said to have</t>
        </r>
        <r>
          <rPr>
            <i/>
            <sz val="10"/>
            <color indexed="81"/>
            <rFont val="Tahoma"/>
            <family val="2"/>
          </rPr>
          <t xml:space="preserve"> left hand circular polarization</t>
        </r>
        <r>
          <rPr>
            <sz val="10"/>
            <color indexed="81"/>
            <rFont val="Tahoma"/>
            <family val="2"/>
          </rPr>
          <t xml:space="preserve"> (LHCP).
There is also an in-between polarization case.  If an antenna has two planes of orthogonal elements as discussed above but, the power delivered to the two planes is not equal, then the antenna will generate </t>
        </r>
        <r>
          <rPr>
            <i/>
            <sz val="10"/>
            <color indexed="81"/>
            <rFont val="Tahoma"/>
            <family val="2"/>
          </rPr>
          <t>elliptical</t>
        </r>
        <r>
          <rPr>
            <sz val="10"/>
            <color indexed="81"/>
            <rFont val="Tahoma"/>
            <family val="2"/>
          </rPr>
          <t xml:space="preserve"> polarization.  The E- and H- fields still rotate at the carrier frequency as in circular polarization but, a non-rotating elliptically polarized wave is generated.  The ellipse will have a fixed orientation with respect to the antenna radiators.  Usually the major axis of the ellipse will line up with the element receiving the most power.  If, at a distant location, a horizontally polarized  element is used to receiver the signal from an elliptically polarized antenna and if the horizontal antenna can be rotated slowly between horizontal and vertical it will be noticed that a maximum signal attitude and a minimum signal attitude can be found.  These two angles correspond to the major and minor axes (respectively) of the </t>
        </r>
        <r>
          <rPr>
            <i/>
            <sz val="10"/>
            <color indexed="81"/>
            <rFont val="Tahoma"/>
            <family val="2"/>
          </rPr>
          <t>polarization ellipse</t>
        </r>
        <r>
          <rPr>
            <sz val="10"/>
            <color indexed="81"/>
            <rFont val="Tahoma"/>
            <family val="2"/>
          </rPr>
          <t xml:space="preserve">.  One important issue in link analysis is, how much power loss is associated with the polarization properties of BOTH the transmit and the receive antennas?  The measure of ellipticity for a given transmit or receive antenna is known as its </t>
        </r>
        <r>
          <rPr>
            <i/>
            <sz val="10"/>
            <color indexed="81"/>
            <rFont val="Tahoma"/>
            <family val="2"/>
          </rPr>
          <t>axial ratio</t>
        </r>
        <r>
          <rPr>
            <sz val="10"/>
            <color indexed="81"/>
            <rFont val="Tahoma"/>
            <family val="2"/>
          </rPr>
          <t xml:space="preserve">.  The axial ratio is equal to 10 times the log to the base 10 of the ratio of the power measured in the major axis divided by the power measured in the minor axis.  Thus, the axial ratio of a perfectly circularly polarized antenna is 10log(.5/.5) = 0.  And a linear antenna has an axial ratio of 10log(1/0) = infinity, since all of the power is put into the major axis.  
Here is an important point:  A spacecraft using a circularly polarized antenna (more or less omni-directional in gain) DOES NOT typically produce the same axial ratio in all directions.  Thus, to be perfectly general, to characterize the antenna system installed on a spacecraft one must meausre (ususally in a spherical coordinate system) BOTH the gain of the antenna as a function of two angles (say, </t>
        </r>
        <r>
          <rPr>
            <b/>
            <sz val="10"/>
            <color indexed="81"/>
            <rFont val="Arial"/>
            <family val="2"/>
          </rPr>
          <t>θ</t>
        </r>
        <r>
          <rPr>
            <sz val="9"/>
            <color indexed="81"/>
            <rFont val="Tahoma"/>
            <family val="2"/>
          </rPr>
          <t xml:space="preserve"> and </t>
        </r>
        <r>
          <rPr>
            <b/>
            <sz val="10"/>
            <color indexed="81"/>
            <rFont val="Symbol"/>
            <family val="1"/>
          </rPr>
          <t>j</t>
        </r>
        <r>
          <rPr>
            <sz val="10"/>
            <color indexed="81"/>
            <rFont val="Symbol"/>
            <family val="1"/>
          </rPr>
          <t xml:space="preserve">)  </t>
        </r>
        <r>
          <rPr>
            <sz val="10"/>
            <color indexed="81"/>
            <rFont val="Tahoma"/>
            <family val="2"/>
          </rPr>
          <t xml:space="preserve">AND the axial ratio of the antenna as a function of </t>
        </r>
        <r>
          <rPr>
            <b/>
            <sz val="10"/>
            <color indexed="81"/>
            <rFont val="Arial"/>
            <family val="2"/>
          </rPr>
          <t>θ</t>
        </r>
        <r>
          <rPr>
            <sz val="9"/>
            <color indexed="81"/>
            <rFont val="Tahoma"/>
            <family val="2"/>
          </rPr>
          <t xml:space="preserve"> and </t>
        </r>
        <r>
          <rPr>
            <b/>
            <sz val="10"/>
            <color indexed="81"/>
            <rFont val="Symbol"/>
            <family val="1"/>
          </rPr>
          <t>j</t>
        </r>
        <r>
          <rPr>
            <sz val="10"/>
            <color indexed="81"/>
            <rFont val="Symbol"/>
            <family val="1"/>
          </rPr>
          <t xml:space="preserve">.  </t>
        </r>
        <r>
          <rPr>
            <sz val="10"/>
            <color indexed="81"/>
            <rFont val="Tahoma"/>
            <family val="2"/>
          </rPr>
          <t xml:space="preserve">And, both of these parameters will affect the link performance of the system.  While gain plots are commonly provided or measured, axial ratio plots are not.  Yet, the axial ratio could case a very large signal loss just as a gain loss can.  Axial ratio plots are typically accomplished (when they are measured at all) by the technique hinted at above.  The spaceraft is placed in a two-axis rotating fixture (to set </t>
        </r>
        <r>
          <rPr>
            <b/>
            <sz val="10"/>
            <color indexed="81"/>
            <rFont val="Arial"/>
            <family val="2"/>
          </rPr>
          <t>θ</t>
        </r>
        <r>
          <rPr>
            <sz val="10"/>
            <color indexed="81"/>
            <rFont val="Arial"/>
            <family val="2"/>
          </rPr>
          <t xml:space="preserve"> and </t>
        </r>
        <r>
          <rPr>
            <b/>
            <sz val="10"/>
            <color indexed="81"/>
            <rFont val="Symbol"/>
            <family val="1"/>
          </rPr>
          <t>j</t>
        </r>
        <r>
          <rPr>
            <sz val="6.7"/>
            <color indexed="81"/>
            <rFont val="Tahoma"/>
            <family val="2"/>
          </rPr>
          <t>)</t>
        </r>
        <r>
          <rPr>
            <sz val="10"/>
            <color indexed="81"/>
            <rFont val="Tahoma"/>
            <family val="2"/>
          </rPr>
          <t xml:space="preserve"> and at a distant point a dipole (that rotates in a plane normal to the propagation direction between the transmitter and receiver) is set up.  At many attitudes of the spacecraft relative to the distant receive point, the "spinning dipole" records the sine wave produced by the polarization properties of the two antennas.  By noting the maximum signal power and the minimum signal power of the received wave the axial ratio can be computed for every desired value of </t>
        </r>
        <r>
          <rPr>
            <b/>
            <sz val="10"/>
            <color indexed="81"/>
            <rFont val="Arial"/>
            <family val="2"/>
          </rPr>
          <t>θ</t>
        </r>
        <r>
          <rPr>
            <sz val="9"/>
            <color indexed="81"/>
            <rFont val="Tahoma"/>
            <family val="2"/>
          </rPr>
          <t xml:space="preserve"> and </t>
        </r>
        <r>
          <rPr>
            <b/>
            <sz val="10"/>
            <color indexed="81"/>
            <rFont val="Symbol"/>
            <family val="1"/>
          </rPr>
          <t xml:space="preserve">j </t>
        </r>
        <r>
          <rPr>
            <sz val="10"/>
            <color indexed="81"/>
            <rFont val="Tahoma"/>
            <family val="2"/>
          </rPr>
          <t xml:space="preserve">in the spacecraft coordinate system.  
Polarization may be used as a means of isolation between two systems.  If one system uses horizontal polarizaton and the second uses vertical polarizaton and the two share the same frequency, then since the two systems operate </t>
        </r>
        <r>
          <rPr>
            <i/>
            <sz val="10"/>
            <color indexed="81"/>
            <rFont val="Tahoma"/>
            <family val="2"/>
          </rPr>
          <t>orthoganlly</t>
        </r>
        <r>
          <rPr>
            <sz val="10"/>
            <color indexed="81"/>
            <rFont val="Tahoma"/>
            <family val="2"/>
          </rPr>
          <t xml:space="preserve"> to one another they are isolated and can often share the same frequency.  The same is true if one system uses RHCP and the second uses LHCP.  For space systems, linear polarization isolation is hard to achieve except for geostationary systems where the satellite does not move or rotate relative to the observer.  Space systems can more easily achive polarization isolation using the two forms of circular polarization. 
One last point:  The polarization of a linear antenna as it passes through the atmosphere/ionoshpere is rotated by electrons present along the path.  This phenominon is known as </t>
        </r>
        <r>
          <rPr>
            <i/>
            <sz val="10"/>
            <color indexed="81"/>
            <rFont val="Tahoma"/>
            <family val="2"/>
          </rPr>
          <t>Faraday rotation</t>
        </r>
        <r>
          <rPr>
            <sz val="10"/>
            <color indexed="81"/>
            <rFont val="Tahoma"/>
            <family val="2"/>
          </rPr>
          <t xml:space="preserve">.  This is a further property of satellite links that cases grief when using linear polarization.  The rotation amount in degrees or (one can also talk about the rate of change of the amount, in degrees/sec) is proportional to the total number of electrons contained within the column of particles between the ground station and the spacecraft and inversely proportional to the square of the frequency.   Thus, at frequencies above UHF, Faraday Rotation can be ingnored as a problem.  It is, however, a significant effect at VHF/UHF. 
</t>
        </r>
      </text>
    </comment>
    <comment ref="B27" authorId="0" shapeId="0" xr:uid="{00000000-0006-0000-0800-000002000000}">
      <text>
        <r>
          <rPr>
            <sz val="8"/>
            <color indexed="81"/>
            <rFont val="Tahoma"/>
            <family val="2"/>
          </rPr>
          <t xml:space="preserve">
</t>
        </r>
        <r>
          <rPr>
            <sz val="10"/>
            <color indexed="81"/>
            <rFont val="Tahoma"/>
            <family val="2"/>
          </rPr>
          <t xml:space="preserve">These two tables allow you to determine the power loss and isolation between two antennas.  One table is for the uplink and the second is for the downlink.  You must first measure or estimate the axial ratio of all of the antennas in the system at the attitude case you have now selected in the "Antenna Pointing Losses" W/S.  [NOTE:  If this is an early phase of the design, assume either ideal properties such as perfect circularity or pick an axial ratio in the vacinity of say, 1 dB as a starting point].  Enter these vaues into the tables.  Now estimate the angle between the transmit and receive antenna polarization ellipses (the general case).  See the angle </t>
        </r>
        <r>
          <rPr>
            <sz val="10"/>
            <color indexed="81"/>
            <rFont val="Arial"/>
            <family val="2"/>
          </rPr>
          <t>θ</t>
        </r>
        <r>
          <rPr>
            <sz val="9"/>
            <color indexed="81"/>
            <rFont val="Tahoma"/>
            <family val="2"/>
          </rPr>
          <t xml:space="preserve"> </t>
        </r>
        <r>
          <rPr>
            <sz val="10"/>
            <color indexed="81"/>
            <rFont val="Tahoma"/>
            <family val="2"/>
          </rPr>
          <t xml:space="preserve">in the adjacent figure.  [NOTE:  don't confuse this angle </t>
        </r>
        <r>
          <rPr>
            <sz val="10"/>
            <color indexed="81"/>
            <rFont val="Arial"/>
            <family val="2"/>
          </rPr>
          <t>θ</t>
        </r>
        <r>
          <rPr>
            <sz val="9"/>
            <color indexed="81"/>
            <rFont val="Tahoma"/>
            <family val="2"/>
          </rPr>
          <t xml:space="preserve"> </t>
        </r>
        <r>
          <rPr>
            <sz val="10"/>
            <color indexed="81"/>
            <rFont val="Tahoma"/>
            <family val="2"/>
          </rPr>
          <t xml:space="preserve">with the spacecraft attitude component </t>
        </r>
        <r>
          <rPr>
            <b/>
            <sz val="10"/>
            <color indexed="81"/>
            <rFont val="Arial"/>
            <family val="2"/>
          </rPr>
          <t>θ</t>
        </r>
        <r>
          <rPr>
            <sz val="10"/>
            <color indexed="81"/>
            <rFont val="Arial"/>
            <family val="2"/>
          </rPr>
          <t>]</t>
        </r>
        <r>
          <rPr>
            <sz val="9"/>
            <color indexed="81"/>
            <rFont val="Tahoma"/>
            <family val="2"/>
          </rPr>
          <t xml:space="preserve">.  </t>
        </r>
        <r>
          <rPr>
            <sz val="10"/>
            <color indexed="81"/>
            <rFont val="Tahoma"/>
            <family val="2"/>
          </rPr>
          <t>The result will be the polarization loss between the two antennas at that angle.  
The table also provides the isolation between two cross polarized circular antennas (one RHCP and one LHCP) using the same axial ratios. 
The two polarizaton loss values, given at Cell [F40] and Cell [F60] are automatically transferred into the "Uplink" and "Downlink" budget W/Ss.  
A table giving example resuts is provided at Cells [B70:J99].
[NOTE:  A linear antenna may be adequately represented by assuming it's axial ratio is 30 dB.  From a practical standpoint, this value is approximately correct, as even a dipole will typically have a tiny orthogonal radiation component].
After completing the entries to this W/S, proceed to the "Atmos. &amp; Ionos. Losses" W/S.</t>
        </r>
      </text>
    </comment>
  </commentList>
</comments>
</file>

<file path=xl/sharedStrings.xml><?xml version="1.0" encoding="utf-8"?>
<sst xmlns="http://schemas.openxmlformats.org/spreadsheetml/2006/main" count="2771" uniqueCount="1079">
  <si>
    <t xml:space="preserve">                        major axes.</t>
  </si>
  <si>
    <t>Atmospheric and Ionospheric Losses:</t>
  </si>
  <si>
    <t>Elevation Angle:</t>
  </si>
  <si>
    <t>Loss:</t>
  </si>
  <si>
    <t>°</t>
  </si>
  <si>
    <t xml:space="preserve">Losses due to atmospheric gases (Nitrogen, Oxygen, Carbon Dioxide, Hydrogen, etc.) </t>
  </si>
  <si>
    <t>are nearly independent of atmospheric temperature, mean density and relative humidity</t>
  </si>
  <si>
    <t>distributed along the path between the spacecraft and the ground station.  This, in turn,</t>
  </si>
  <si>
    <t xml:space="preserve">means that the losses from or to the satellite are elevation angle dependent.  </t>
  </si>
  <si>
    <t>The table to the left is a look-up table.  The minimum elevation angle selected in the</t>
  </si>
  <si>
    <t>Loss due to Atmospheric Gases:</t>
  </si>
  <si>
    <t>Min. Elev. Angle:</t>
  </si>
  <si>
    <t>deg.</t>
  </si>
  <si>
    <t>Loss Determined:</t>
  </si>
  <si>
    <t xml:space="preserve"> Downlink</t>
  </si>
  <si>
    <t xml:space="preserve">Changed "Downlink" to "Uplink" at D22 in "Antenna Gain" W/S. Changed hard coded cells in "Ant. Pointing Losses" W/S for referenced cells. Fixed errors in downlink portion of worksheet.  There were several incorrect references.  Added NOTEs at Line 57 of the "Uplink" W/S and Line 56 of the "Downlink W/S" to remind user about S/N when using coding.  TNX Jeff Capehart W4DFU.  </t>
  </si>
  <si>
    <t>One additional interpolated value is added at 2.5° elevation angle.  This was not taken</t>
  </si>
  <si>
    <t>from Ippolito's text.</t>
  </si>
  <si>
    <t>Loss due to Ionosphere:</t>
  </si>
  <si>
    <t>Louis J. Ippolito, Jr., Van Nostrand-Reinhold, 1986, pp. 33-34, Tables 3-3a-c.</t>
  </si>
  <si>
    <t xml:space="preserve">far less by this layer of ionized particles than at frequencies in the HF, MF and LF portions of the </t>
  </si>
  <si>
    <t xml:space="preserve">radio spectrum.  While there is certainly some correlation between the elevation angle to a </t>
  </si>
  <si>
    <t>Terrestrial Noise Component:</t>
  </si>
  <si>
    <t>Estimated or Measured Noise Level:</t>
  </si>
  <si>
    <t xml:space="preserve">satellite and the signal absorption or scintillation experienced, this dependency is nearly masked </t>
  </si>
  <si>
    <t xml:space="preserve">out by the time variability of effects.  </t>
  </si>
  <si>
    <t xml:space="preserve">especially at low elevation angles.  The ionosphere certainly limits the lowest frequency at which </t>
  </si>
  <si>
    <r>
      <t>fully absorbed or reflected by the layers of the ionosphere (D, E, F</t>
    </r>
    <r>
      <rPr>
        <sz val="8"/>
        <rFont val="Arial"/>
        <family val="2"/>
      </rPr>
      <t>1</t>
    </r>
    <r>
      <rPr>
        <sz val="10"/>
        <rFont val="Arial"/>
        <family val="2"/>
      </rPr>
      <t xml:space="preserve"> and F</t>
    </r>
    <r>
      <rPr>
        <sz val="8"/>
        <rFont val="Arial"/>
        <family val="2"/>
      </rPr>
      <t>2</t>
    </r>
    <r>
      <rPr>
        <sz val="10"/>
        <rFont val="Arial"/>
        <family val="2"/>
      </rPr>
      <t xml:space="preserve">).  </t>
    </r>
  </si>
  <si>
    <t>User #2:</t>
  </si>
  <si>
    <t>GEO Azimuth Calculation:</t>
  </si>
  <si>
    <r>
      <t>Deep Space Mission - Option #4:</t>
    </r>
    <r>
      <rPr>
        <b/>
        <sz val="12"/>
        <rFont val="Arial"/>
        <family val="2"/>
      </rPr>
      <t xml:space="preserve">  </t>
    </r>
    <r>
      <rPr>
        <b/>
        <sz val="12"/>
        <color indexed="12"/>
        <rFont val="Arial"/>
        <family val="2"/>
      </rPr>
      <t>Range Expressed in Astronomical Units (AU)</t>
    </r>
  </si>
  <si>
    <t>statistics of these loss parameters would be interesting to review, however, this effort is more</t>
  </si>
  <si>
    <t xml:space="preserve">It is proposed that these values can be conservatively used in satellite link analyses.  The higher order </t>
  </si>
  <si>
    <t>than is necessary for the development of an effective link budget.</t>
  </si>
  <si>
    <t xml:space="preserve">at frequencies below 2 GHz.  Atmospheric absorption depends strongly upon the total number of molecules </t>
  </si>
  <si>
    <r>
      <t>The data used here  is taken from "</t>
    </r>
    <r>
      <rPr>
        <i/>
        <sz val="10"/>
        <rFont val="Arial"/>
        <family val="2"/>
      </rPr>
      <t>Radiowave Propagation in Satellite Communications</t>
    </r>
    <r>
      <rPr>
        <sz val="10"/>
        <rFont val="Arial"/>
        <family val="2"/>
      </rPr>
      <t>" by</t>
    </r>
  </si>
  <si>
    <t>dBi</t>
  </si>
  <si>
    <t>%</t>
  </si>
  <si>
    <t>J. A. King</t>
  </si>
  <si>
    <t>GHz</t>
  </si>
  <si>
    <t>Peak Gain:</t>
  </si>
  <si>
    <t>Antenna Dia.:</t>
  </si>
  <si>
    <t>Meters</t>
  </si>
  <si>
    <t>Main Lobe</t>
  </si>
  <si>
    <t>First Null</t>
  </si>
  <si>
    <t>First Sidelobe</t>
  </si>
  <si>
    <t>2nd Null</t>
  </si>
  <si>
    <t>2nd Sidelobe</t>
  </si>
  <si>
    <t>3rd Null</t>
  </si>
  <si>
    <t>3rd Sidelobe</t>
  </si>
  <si>
    <t>4th Null</t>
  </si>
  <si>
    <t>4th Sidelobe</t>
  </si>
  <si>
    <t>Aperture Efficiency:</t>
  </si>
  <si>
    <t>(Half Power B.W.)/2</t>
  </si>
  <si>
    <r>
      <t xml:space="preserve">                     </t>
    </r>
    <r>
      <rPr>
        <b/>
        <sz val="14"/>
        <color indexed="10"/>
        <rFont val="Arial"/>
        <family val="2"/>
      </rPr>
      <t xml:space="preserve"> Antenna Beam Roll-Off Tool </t>
    </r>
  </si>
  <si>
    <r>
      <t>Pwr (</t>
    </r>
    <r>
      <rPr>
        <b/>
        <sz val="10"/>
        <rFont val="Symbol"/>
        <family val="1"/>
      </rPr>
      <t>q)</t>
    </r>
    <r>
      <rPr>
        <b/>
        <sz val="10"/>
        <rFont val="Arial"/>
        <family val="2"/>
      </rPr>
      <t xml:space="preserve"> w.r.t. Peak Gain:</t>
    </r>
  </si>
  <si>
    <r>
      <t xml:space="preserve">q </t>
    </r>
    <r>
      <rPr>
        <b/>
        <sz val="10"/>
        <rFont val="Arial"/>
        <family val="2"/>
      </rPr>
      <t>(degrees):</t>
    </r>
  </si>
  <si>
    <t>Uplink Antenna System:</t>
  </si>
  <si>
    <t>Diameter:</t>
  </si>
  <si>
    <t>Gain:</t>
  </si>
  <si>
    <t>Polarization:</t>
  </si>
  <si>
    <t>Beamwidth:</t>
  </si>
  <si>
    <t>RHCP</t>
  </si>
  <si>
    <t>dBiL</t>
  </si>
  <si>
    <r>
      <t>Circumference (</t>
    </r>
    <r>
      <rPr>
        <sz val="10"/>
        <rFont val="Symbol"/>
        <family val="1"/>
      </rPr>
      <t>l</t>
    </r>
    <r>
      <rPr>
        <sz val="10"/>
        <rFont val="Arial"/>
        <family val="2"/>
      </rPr>
      <t>):</t>
    </r>
  </si>
  <si>
    <t>Turns (n):</t>
  </si>
  <si>
    <r>
      <t>Turn Spacing (</t>
    </r>
    <r>
      <rPr>
        <sz val="10"/>
        <rFont val="Symbol"/>
        <family val="1"/>
      </rPr>
      <t>l</t>
    </r>
    <r>
      <rPr>
        <sz val="10"/>
        <rFont val="Arial"/>
        <family val="2"/>
      </rPr>
      <t>):</t>
    </r>
  </si>
  <si>
    <r>
      <t>Loop (</t>
    </r>
    <r>
      <rPr>
        <sz val="10"/>
        <rFont val="Symbol"/>
        <family val="1"/>
      </rPr>
      <t>l</t>
    </r>
    <r>
      <rPr>
        <sz val="10"/>
        <rFont val="Arial"/>
        <family val="2"/>
      </rPr>
      <t>):</t>
    </r>
  </si>
  <si>
    <t xml:space="preserve">    1/2</t>
  </si>
  <si>
    <t>No Radiation in Back Hemisphere</t>
  </si>
  <si>
    <t>Null On Axis; Both Poles</t>
  </si>
  <si>
    <t>Circular Pol. On Axis; RHCP one pole, LHCP Opposite Pole, Linear in Equatorial Plane</t>
  </si>
  <si>
    <t>(typical)</t>
  </si>
  <si>
    <r>
      <t>Boom Length (</t>
    </r>
    <r>
      <rPr>
        <sz val="10"/>
        <rFont val="Symbol"/>
        <family val="1"/>
      </rPr>
      <t>l</t>
    </r>
    <r>
      <rPr>
        <sz val="10"/>
        <rFont val="Arial"/>
        <family val="2"/>
      </rPr>
      <t xml:space="preserve">): </t>
    </r>
  </si>
  <si>
    <t>per Plane</t>
  </si>
  <si>
    <t>Optimum Elements (n):</t>
  </si>
  <si>
    <t>Maximum Gain:</t>
  </si>
  <si>
    <t>Yagi</t>
  </si>
  <si>
    <t>Added EZNEC+ and Chart Wizzard Antenna Plots to "Antenna Pattern" W/S.</t>
  </si>
  <si>
    <t>Optimum Yagi Antenna Performance:</t>
  </si>
  <si>
    <t>Boom</t>
  </si>
  <si>
    <r>
      <t>Length (</t>
    </r>
    <r>
      <rPr>
        <sz val="10"/>
        <rFont val="Symbol"/>
        <family val="1"/>
      </rPr>
      <t>l</t>
    </r>
    <r>
      <rPr>
        <sz val="10"/>
        <rFont val="Arial"/>
        <family val="2"/>
      </rPr>
      <t>):</t>
    </r>
  </si>
  <si>
    <t>Optimum</t>
  </si>
  <si>
    <t>No. Elements (n):</t>
  </si>
  <si>
    <t>Maximum</t>
  </si>
  <si>
    <t>Gain (dBi):</t>
  </si>
  <si>
    <t>(in V and in H)</t>
  </si>
  <si>
    <t>Wavelength:</t>
  </si>
  <si>
    <t>No Radiation in Back Hemisphere &amp; Null on Axis ("Tip Null")</t>
  </si>
  <si>
    <t xml:space="preserve">      Antenna Length:</t>
  </si>
  <si>
    <t>Path Loss for Orbit Selected:</t>
  </si>
  <si>
    <t>Helix</t>
  </si>
  <si>
    <t>Parabolic Reflector</t>
  </si>
  <si>
    <t xml:space="preserve">User Defined </t>
  </si>
  <si>
    <t xml:space="preserve">   Ground Station:</t>
  </si>
  <si>
    <t>Monopole</t>
  </si>
  <si>
    <t>Dipole</t>
  </si>
  <si>
    <t>Canted Turnstyle</t>
  </si>
  <si>
    <t>Quadrifilar Helix</t>
  </si>
  <si>
    <t>Other (User Defined)</t>
  </si>
  <si>
    <t xml:space="preserve">     Downlink Antenna System:</t>
  </si>
  <si>
    <t>UPLINK</t>
  </si>
  <si>
    <t>DOWNLINK</t>
  </si>
  <si>
    <t xml:space="preserve">     Spacecraft:</t>
  </si>
  <si>
    <t>Uplink</t>
  </si>
  <si>
    <t>Downlink</t>
  </si>
  <si>
    <t>OPTION:</t>
  </si>
  <si>
    <t>Operator Selects Option 1 to 4 Here</t>
  </si>
  <si>
    <t>Communications Receiver Front End Temperature</t>
  </si>
  <si>
    <t>Operator Selects Option 1 to 5 Here</t>
  </si>
  <si>
    <t>Look-Up Table</t>
  </si>
  <si>
    <t>#1:</t>
  </si>
  <si>
    <t>#2:</t>
  </si>
  <si>
    <t>#3:</t>
  </si>
  <si>
    <t>UPLINK &amp; DOWNLINK Frequency Choices:</t>
  </si>
  <si>
    <t>Downlink Frequency Choice:</t>
  </si>
  <si>
    <t>Uplink Frequency Choice:</t>
  </si>
  <si>
    <t>#4:</t>
  </si>
  <si>
    <t>Operator Selected Option:</t>
  </si>
  <si>
    <t>UPLINK:</t>
  </si>
  <si>
    <r>
      <t xml:space="preserve">           P</t>
    </r>
    <r>
      <rPr>
        <b/>
        <sz val="8"/>
        <rFont val="Arial"/>
        <family val="2"/>
      </rPr>
      <t>L</t>
    </r>
  </si>
  <si>
    <t>=  0.5*(1+((1-r_1^2)*(1-r_2^2)*COS(2*θ)+4*r_1*r_2)/((1+r_1^2)*(1+r_2^2)))</t>
  </si>
  <si>
    <t>DOWNLINK:</t>
  </si>
  <si>
    <t xml:space="preserve">       DOWNLINK:</t>
  </si>
  <si>
    <t>NOTE:     This is also a typical small satellite case.</t>
  </si>
  <si>
    <t xml:space="preserve">  Operator selects uplink antenna characteristics in blue boxes.</t>
  </si>
  <si>
    <t>Result:</t>
  </si>
  <si>
    <t xml:space="preserve">         UPLINK:</t>
  </si>
  <si>
    <t xml:space="preserve">     DOWNLINK:</t>
  </si>
  <si>
    <t>NOTE:  Do not modify or use cells to left of table.</t>
  </si>
  <si>
    <t>Spacecraft</t>
  </si>
  <si>
    <t>Antenna</t>
  </si>
  <si>
    <t>Ground Station</t>
  </si>
  <si>
    <t>Approx. Antenna Pointing Loss:</t>
  </si>
  <si>
    <r>
      <t>Esimated Pointing Error (</t>
    </r>
    <r>
      <rPr>
        <b/>
        <sz val="10"/>
        <rFont val="Arial"/>
        <family val="2"/>
      </rPr>
      <t>θ</t>
    </r>
    <r>
      <rPr>
        <b/>
        <sz val="8"/>
        <rFont val="Arial"/>
        <family val="2"/>
      </rPr>
      <t>1)</t>
    </r>
    <r>
      <rPr>
        <b/>
        <sz val="10"/>
        <rFont val="Arial"/>
        <family val="2"/>
      </rPr>
      <t>:</t>
    </r>
  </si>
  <si>
    <t xml:space="preserve"> °</t>
  </si>
  <si>
    <t>Patch (Example)</t>
  </si>
  <si>
    <t>[Type 1,2,3 or 4]</t>
  </si>
  <si>
    <t xml:space="preserve">      Approx. Antenna</t>
  </si>
  <si>
    <t xml:space="preserve">      Pointing Loss:</t>
  </si>
  <si>
    <t>NOTE:</t>
  </si>
  <si>
    <t>Calculation Formulas</t>
  </si>
  <si>
    <t xml:space="preserve">    Antenna Roll-Off</t>
  </si>
  <si>
    <r>
      <t>and vector from S/C to gnd. station (</t>
    </r>
    <r>
      <rPr>
        <b/>
        <sz val="10"/>
        <rFont val="Arial"/>
        <family val="2"/>
      </rPr>
      <t>θ</t>
    </r>
    <r>
      <rPr>
        <b/>
        <sz val="8"/>
        <rFont val="Arial"/>
        <family val="2"/>
      </rPr>
      <t>2</t>
    </r>
    <r>
      <rPr>
        <b/>
        <sz val="10"/>
        <rFont val="Arial"/>
        <family val="2"/>
      </rPr>
      <t>):</t>
    </r>
  </si>
  <si>
    <r>
      <t xml:space="preserve">No Radiation in Back Hemisphere </t>
    </r>
    <r>
      <rPr>
        <b/>
        <sz val="10"/>
        <rFont val="Arial"/>
        <family val="2"/>
      </rPr>
      <t>AND</t>
    </r>
    <r>
      <rPr>
        <sz val="10"/>
        <rFont val="Arial"/>
        <family val="2"/>
      </rPr>
      <t xml:space="preserve"> Null on Axis ("Tip Null")</t>
    </r>
  </si>
  <si>
    <t>No Radiation in Back Hemisphere; Excellent Axial Ratio Performance Off-Axis</t>
  </si>
  <si>
    <t>2.1.2</t>
  </si>
  <si>
    <t>Modified Data for Monopole Antenna Pattern in Monopole Table in "Antenna Patterns" W/S.  Added 3 dB to all Values (0° to 90°)</t>
  </si>
  <si>
    <t xml:space="preserve">Radio waves passing through the ionosphere at VHF, UHF and Microwave frequencies are influenced  </t>
  </si>
  <si>
    <t>satellite communications is feasible.  Below 20 MHz, during solar maximum space signals are usually</t>
  </si>
  <si>
    <t>Half Power</t>
  </si>
  <si>
    <t>(P/2) Beamwidth:</t>
  </si>
  <si>
    <t>"Design a Dish"</t>
  </si>
  <si>
    <r>
      <t xml:space="preserve">S/C </t>
    </r>
    <r>
      <rPr>
        <sz val="10"/>
        <rFont val="Symbol"/>
        <family val="1"/>
      </rPr>
      <t>Ð</t>
    </r>
    <r>
      <rPr>
        <sz val="10"/>
        <rFont val="Arial"/>
        <family val="2"/>
      </rPr>
      <t xml:space="preserve"> wrt Symmetry Axis (</t>
    </r>
    <r>
      <rPr>
        <sz val="10"/>
        <rFont val="Arial"/>
        <family val="2"/>
      </rPr>
      <t>θ)°</t>
    </r>
    <r>
      <rPr>
        <sz val="10"/>
        <rFont val="Arial"/>
        <family val="2"/>
      </rPr>
      <t>:</t>
    </r>
  </si>
  <si>
    <t>LHCP</t>
  </si>
  <si>
    <t>Antenna Gain (dBi):</t>
  </si>
  <si>
    <t>Spacecraft Antennas:</t>
  </si>
  <si>
    <t>Uplink Transmitter System (At Ground Station):</t>
  </si>
  <si>
    <t>Downlink Transmitter System (At Spacecraft):</t>
  </si>
  <si>
    <t>Block Diagram:</t>
  </si>
  <si>
    <t>Watts  =</t>
  </si>
  <si>
    <t>dBW   =</t>
  </si>
  <si>
    <r>
      <t>=2</t>
    </r>
    <r>
      <rPr>
        <b/>
        <sz val="10"/>
        <rFont val="Symbol"/>
        <family val="1"/>
      </rPr>
      <t xml:space="preserve">q </t>
    </r>
    <r>
      <rPr>
        <b/>
        <sz val="10"/>
        <rFont val="Arial"/>
        <family val="2"/>
      </rPr>
      <t>(Beamwidth@ -3dB Roll-Off)</t>
    </r>
  </si>
  <si>
    <t>Cable or Waveguide Loss:</t>
  </si>
  <si>
    <t xml:space="preserve">  A positive gain or directivity is always experssed as a positive number.  Sometimes the value may be seen to have a + in front of it.</t>
  </si>
  <si>
    <t>2.2.1</t>
  </si>
  <si>
    <t xml:space="preserve">Edited Notes in I.I.R.R W/S.  </t>
  </si>
  <si>
    <t>2005, 87.50000</t>
  </si>
  <si>
    <t>If you are using uplink or downlink frequencies above 2 GHz, refer to the referenced text given above</t>
  </si>
  <si>
    <t>to determine the appropriate atmosperic losses.  At millimeter wave frequencies the losses can be much higher.</t>
  </si>
  <si>
    <t>No. of In-Line Connectors:</t>
  </si>
  <si>
    <t>Other In-Line Losses:</t>
  </si>
  <si>
    <t>MHz =</t>
  </si>
  <si>
    <t>Other Components in Line:</t>
  </si>
  <si>
    <t>Total Line Losses:</t>
  </si>
  <si>
    <t>System Transmitters &amp; Line Losses:</t>
  </si>
  <si>
    <t>Antenna Mismatch Losses:</t>
  </si>
  <si>
    <t>Line A Length:</t>
  </si>
  <si>
    <t>Line B Length:</t>
  </si>
  <si>
    <t>Line C Length:</t>
  </si>
  <si>
    <t>Total Line Length (Lines A+B+C):</t>
  </si>
  <si>
    <t>Total Power Delivered to Antenna:</t>
  </si>
  <si>
    <t>Total RF Power Delivered to Antenna:</t>
  </si>
  <si>
    <t>Device:</t>
  </si>
  <si>
    <t>System Receivers and Line Losses:</t>
  </si>
  <si>
    <t>Uplink Receiver System (At Spacecraft):</t>
  </si>
  <si>
    <t xml:space="preserve">Patch </t>
  </si>
  <si>
    <t>Low Radiation in Back Hemisphere; High On-Axis Gain; Can be Maded Linear or Circularly Polarized</t>
  </si>
  <si>
    <t>To Be Used if a High Gain Antenna is Required on S/C.</t>
  </si>
  <si>
    <t>Gain, Beamwidth and Roll-Off Equation To Be Provided By Link Model Operator</t>
  </si>
  <si>
    <t>dBi (C or L)</t>
  </si>
  <si>
    <t>Link Model Operator to Provide</t>
  </si>
  <si>
    <t>Where:</t>
  </si>
  <si>
    <t xml:space="preserve">                          Adjustments and/or Modifications Made:</t>
  </si>
  <si>
    <t>Polarization Angle θ between antennas =</t>
  </si>
  <si>
    <t>Axial ratio of Tx Antenna (Ant. #1) in dB =</t>
  </si>
  <si>
    <t xml:space="preserve">There is, however, a frequency depencency that can be quantified, on average.  As transmitter frequencies   </t>
  </si>
  <si>
    <t>go below 100 MHz there are times when the attenuation can increase to as much as tens of dB,</t>
  </si>
  <si>
    <t xml:space="preserve">for longer S/C cable runs.  The cable is single shielded with a silver coated copper braid.  The center conductor is </t>
  </si>
  <si>
    <t>Losses are quite high per unit length as the cable diameter is only 0.098" (2.49 mm).  Still, the losses are acceptable</t>
  </si>
  <si>
    <t>Cable or Waveguide "Line" Losses:</t>
  </si>
  <si>
    <t>Cable or Waveguide ("Line") Losses:</t>
  </si>
  <si>
    <r>
      <t>L</t>
    </r>
    <r>
      <rPr>
        <sz val="8"/>
        <rFont val="Arial"/>
        <family val="2"/>
      </rPr>
      <t>A</t>
    </r>
    <r>
      <rPr>
        <sz val="10"/>
        <rFont val="Arial"/>
        <family val="2"/>
      </rPr>
      <t xml:space="preserve"> = </t>
    </r>
  </si>
  <si>
    <r>
      <t>L</t>
    </r>
    <r>
      <rPr>
        <sz val="8"/>
        <rFont val="Arial"/>
        <family val="2"/>
      </rPr>
      <t>B</t>
    </r>
    <r>
      <rPr>
        <sz val="10"/>
        <rFont val="Arial"/>
        <family val="2"/>
      </rPr>
      <t xml:space="preserve"> = </t>
    </r>
  </si>
  <si>
    <r>
      <t>L</t>
    </r>
    <r>
      <rPr>
        <sz val="8"/>
        <rFont val="Arial"/>
        <family val="2"/>
      </rPr>
      <t>C</t>
    </r>
    <r>
      <rPr>
        <sz val="10"/>
        <rFont val="Arial"/>
        <family val="2"/>
      </rPr>
      <t xml:space="preserve"> = </t>
    </r>
  </si>
  <si>
    <t>Line A Loss:</t>
  </si>
  <si>
    <t>Quad. Angle Range:</t>
  </si>
  <si>
    <t>Added HEO, GEO and Deep Space Orbit Capability.  Link Model Operator selects options.  Separted Orbit and Frequency into two separate pages.</t>
  </si>
  <si>
    <t>Not Released</t>
  </si>
  <si>
    <t>Line B Loss:</t>
  </si>
  <si>
    <t>Line C Loss:</t>
  </si>
  <si>
    <t>Bandpass Filter Insertion Loss:</t>
  </si>
  <si>
    <r>
      <t>L</t>
    </r>
    <r>
      <rPr>
        <sz val="8"/>
        <rFont val="Arial"/>
        <family val="2"/>
      </rPr>
      <t>BPF</t>
    </r>
    <r>
      <rPr>
        <sz val="10"/>
        <rFont val="Arial"/>
        <family val="2"/>
      </rPr>
      <t xml:space="preserve"> =</t>
    </r>
  </si>
  <si>
    <t>Insertion Loss of Other In-Line Devices:</t>
  </si>
  <si>
    <r>
      <t>L</t>
    </r>
    <r>
      <rPr>
        <sz val="8"/>
        <rFont val="Arial"/>
        <family val="2"/>
      </rPr>
      <t>other</t>
    </r>
    <r>
      <rPr>
        <sz val="10"/>
        <rFont val="Arial"/>
        <family val="2"/>
      </rPr>
      <t xml:space="preserve"> = </t>
    </r>
  </si>
  <si>
    <t>Total In-Line Losses from Antenna to LNA:</t>
  </si>
  <si>
    <t>Transmission Line Coefficient:</t>
  </si>
  <si>
    <r>
      <t>a</t>
    </r>
    <r>
      <rPr>
        <sz val="10"/>
        <rFont val="Arial"/>
        <family val="2"/>
      </rPr>
      <t xml:space="preserve"> = </t>
    </r>
  </si>
  <si>
    <t>Antenna or "Sky" Temperature:</t>
  </si>
  <si>
    <r>
      <t>T</t>
    </r>
    <r>
      <rPr>
        <sz val="8"/>
        <rFont val="Arial"/>
        <family val="2"/>
      </rPr>
      <t>a</t>
    </r>
    <r>
      <rPr>
        <sz val="10"/>
        <rFont val="Arial"/>
        <family val="2"/>
      </rPr>
      <t xml:space="preserve"> =</t>
    </r>
  </si>
  <si>
    <t>Spacecraft Temperature:</t>
  </si>
  <si>
    <r>
      <t>T</t>
    </r>
    <r>
      <rPr>
        <sz val="8"/>
        <rFont val="Arial"/>
        <family val="2"/>
      </rPr>
      <t>o</t>
    </r>
    <r>
      <rPr>
        <sz val="10"/>
        <rFont val="Arial"/>
        <family val="2"/>
      </rPr>
      <t xml:space="preserve"> =</t>
    </r>
  </si>
  <si>
    <t>LNA Temperature:</t>
  </si>
  <si>
    <r>
      <t>T</t>
    </r>
    <r>
      <rPr>
        <sz val="8"/>
        <rFont val="Arial"/>
        <family val="2"/>
      </rPr>
      <t>LNA</t>
    </r>
    <r>
      <rPr>
        <sz val="10"/>
        <rFont val="Arial"/>
        <family val="2"/>
      </rPr>
      <t xml:space="preserve"> =</t>
    </r>
  </si>
  <si>
    <t>LNA Gain:</t>
  </si>
  <si>
    <r>
      <t>G</t>
    </r>
    <r>
      <rPr>
        <sz val="8"/>
        <rFont val="Arial"/>
        <family val="2"/>
      </rPr>
      <t>LNA</t>
    </r>
    <r>
      <rPr>
        <sz val="10"/>
        <rFont val="Arial"/>
        <family val="2"/>
      </rPr>
      <t xml:space="preserve"> =</t>
    </r>
  </si>
  <si>
    <t>System Noise Temperature:</t>
  </si>
  <si>
    <r>
      <t>T</t>
    </r>
    <r>
      <rPr>
        <sz val="8"/>
        <rFont val="Arial"/>
        <family val="2"/>
      </rPr>
      <t>s</t>
    </r>
    <r>
      <rPr>
        <sz val="10"/>
        <rFont val="Arial"/>
        <family val="2"/>
      </rPr>
      <t xml:space="preserve"> =</t>
    </r>
  </si>
  <si>
    <t>or</t>
  </si>
  <si>
    <t>T =</t>
  </si>
  <si>
    <t>OR</t>
  </si>
  <si>
    <t>Downlink Receiver System (At Ground Station):</t>
  </si>
  <si>
    <t xml:space="preserve">No. of In-Line Connectors: </t>
  </si>
  <si>
    <t>X 0.05 dB/con.=</t>
  </si>
  <si>
    <t xml:space="preserve">NOTE:  </t>
  </si>
  <si>
    <t xml:space="preserve">Receiver Frequency:  </t>
  </si>
  <si>
    <t>Coldest Galactic Noise Temp.:</t>
  </si>
  <si>
    <t>Warmest Galactic Noise Temp:</t>
  </si>
  <si>
    <t>Galactic Noise Component:</t>
  </si>
  <si>
    <t>Receiver Bandwidth:</t>
  </si>
  <si>
    <t>Noise Source Effective Temperature:</t>
  </si>
  <si>
    <t>KHz</t>
  </si>
  <si>
    <t>Minimum Sky Noise  Temp:</t>
  </si>
  <si>
    <t>Maximum Sky Noise Temp:</t>
  </si>
  <si>
    <t>Antenna Length:</t>
  </si>
  <si>
    <t xml:space="preserve">       Antenna Length:</t>
  </si>
  <si>
    <t>The values provided in this table are approximate mean values for low earth station elevation angles.</t>
  </si>
  <si>
    <t>Modulation/Demodulation Method:</t>
  </si>
  <si>
    <t>System Polarization Loss and Cross Polarization Isolation:</t>
  </si>
  <si>
    <t>System Antenna Pointing Losses:</t>
  </si>
  <si>
    <t xml:space="preserve">NOTE: </t>
  </si>
  <si>
    <t>Downlink Antenna System:</t>
  </si>
  <si>
    <t>No Signal</t>
  </si>
  <si>
    <t>MONOPOLE  ELEVATION PATTERN</t>
  </si>
  <si>
    <t>(Or Canted Turnstyle)</t>
  </si>
  <si>
    <r>
      <t>and vector from S/C to gnd. station (</t>
    </r>
    <r>
      <rPr>
        <b/>
        <sz val="10"/>
        <rFont val="Arial"/>
        <family val="2"/>
      </rPr>
      <t>θ</t>
    </r>
    <r>
      <rPr>
        <b/>
        <sz val="8"/>
        <rFont val="Arial"/>
        <family val="2"/>
      </rPr>
      <t>3</t>
    </r>
    <r>
      <rPr>
        <b/>
        <sz val="10"/>
        <rFont val="Arial"/>
        <family val="2"/>
      </rPr>
      <t>):</t>
    </r>
  </si>
  <si>
    <r>
      <t>Esimated Pointing Error (</t>
    </r>
    <r>
      <rPr>
        <b/>
        <sz val="10"/>
        <rFont val="Arial"/>
        <family val="2"/>
      </rPr>
      <t>θ</t>
    </r>
    <r>
      <rPr>
        <b/>
        <sz val="8"/>
        <rFont val="Arial"/>
        <family val="2"/>
      </rPr>
      <t>4)</t>
    </r>
    <r>
      <rPr>
        <b/>
        <sz val="10"/>
        <rFont val="Arial"/>
        <family val="2"/>
      </rPr>
      <t>:</t>
    </r>
  </si>
  <si>
    <t>This Option was Selected on the Previous Page</t>
  </si>
  <si>
    <t>This Option was Selected on the  Previous Page</t>
  </si>
  <si>
    <t>Figure 1</t>
  </si>
  <si>
    <t>Figure 2</t>
  </si>
  <si>
    <t>[Types 1 thru 5]</t>
  </si>
  <si>
    <t>See Figures 1and 3</t>
  </si>
  <si>
    <t>See Figures 1and 4</t>
  </si>
  <si>
    <t>See Figures 1and 6</t>
  </si>
  <si>
    <t>See Figures 1and 7</t>
  </si>
  <si>
    <t>See Figures 1, 5 &amp; 8</t>
  </si>
  <si>
    <t xml:space="preserve">Antenna  </t>
  </si>
  <si>
    <t>Coordinate System:</t>
  </si>
  <si>
    <t>(See Also Figure 8)</t>
  </si>
  <si>
    <t>See Figures 2, 5 &amp; 8</t>
  </si>
  <si>
    <t>See Figures 2 and 7</t>
  </si>
  <si>
    <t>See Figures 2 and 6</t>
  </si>
  <si>
    <t>See Figures 2 and 4</t>
  </si>
  <si>
    <t>See Figures 2 and 3</t>
  </si>
  <si>
    <t>System Antenna Gains (Directivities):</t>
  </si>
  <si>
    <r>
      <t xml:space="preserve">Earth and Orbit Shape for Figure in Orbit &amp; Frequency W/S  </t>
    </r>
    <r>
      <rPr>
        <b/>
        <sz val="10"/>
        <color indexed="10"/>
        <rFont val="Arial"/>
        <family val="2"/>
      </rPr>
      <t>[NOTE:  DO NOT MODIFY]</t>
    </r>
  </si>
  <si>
    <t>Spacecraft Total Transmission Line Losses:</t>
  </si>
  <si>
    <t>S/C-to-Ground Antenna Polarization Loss:</t>
  </si>
  <si>
    <t>This value is transferred from "Atmos. &amp; Ionos. Losses" W/S, Cell [D23]</t>
  </si>
  <si>
    <t>Uplink and Downlink:</t>
  </si>
  <si>
    <t>This value is transferred from "Atmos. &amp; Ionos. Losses" W/S, Cell [D47:D50]</t>
  </si>
  <si>
    <t>The losses determined here for the uplink and downlink are based on the operator-selected frequency</t>
  </si>
  <si>
    <t xml:space="preserve">    Loss Determined:</t>
  </si>
  <si>
    <t>link model operator, then the operator must estimate the appropriate ionospheric loss value and manually</t>
  </si>
  <si>
    <t xml:space="preserve">   Loss Determined:</t>
  </si>
  <si>
    <t>insert it in either Cell [D34] or Cell [D47] accordingly.</t>
  </si>
  <si>
    <t>Link Losses Resulting from Signals Passing Through Atmospheric Gases:</t>
  </si>
  <si>
    <t>Link Losses Resulting from Signals Passing Through the Ionosphere:</t>
  </si>
  <si>
    <t>This value should be estimated by the link model operator and place into Cell [B18]</t>
  </si>
  <si>
    <r>
      <t>calculated or selected in one of the S</t>
    </r>
    <r>
      <rPr>
        <i/>
        <sz val="10"/>
        <rFont val="Arial"/>
        <family val="2"/>
      </rPr>
      <t>peciality</t>
    </r>
    <r>
      <rPr>
        <sz val="10"/>
        <rFont val="Arial"/>
        <family val="2"/>
      </rPr>
      <t xml:space="preserve"> W/Ss (e.g., "Receivers") becomes just one entry in either the Uplink or the Downlink budget.</t>
    </r>
  </si>
  <si>
    <t>2.3.1</t>
  </si>
  <si>
    <r>
      <t xml:space="preserve">Modified Notes at Cells [P135] and [V52] of "Receivers" W/S. Added </t>
    </r>
    <r>
      <rPr>
        <b/>
        <sz val="10"/>
        <rFont val="Arial"/>
        <family val="2"/>
      </rPr>
      <t>T</t>
    </r>
    <r>
      <rPr>
        <b/>
        <sz val="8"/>
        <rFont val="Arial"/>
        <family val="2"/>
      </rPr>
      <t>o</t>
    </r>
    <r>
      <rPr>
        <sz val="10"/>
        <rFont val="Arial"/>
        <family val="2"/>
      </rPr>
      <t xml:space="preserve"> reference temperature "readout" at Cell [U56] of "Receivers" W/S.</t>
    </r>
  </si>
  <si>
    <t>result is given at Cell [D23] and is automatically inserted into the uplink and downlink budgets.</t>
  </si>
  <si>
    <t>Link Model Operator Estimate Inserted Here.</t>
  </si>
  <si>
    <t>This value is calculated in the "Receivers" W/S and Transferred from Cell [J138]</t>
  </si>
  <si>
    <t>Ground Station Total Transmission Line Losses:</t>
  </si>
  <si>
    <t xml:space="preserve">This value is transferred from the "Receivers" W/S, Cell [J123] </t>
  </si>
  <si>
    <t>Telemetry System Eb/No for the Downlink:</t>
  </si>
  <si>
    <r>
      <t xml:space="preserve">Operator selects this value. </t>
    </r>
    <r>
      <rPr>
        <sz val="10"/>
        <color indexed="10"/>
        <rFont val="Arial"/>
        <family val="2"/>
      </rPr>
      <t>Be Careful!</t>
    </r>
    <r>
      <rPr>
        <sz val="10"/>
        <rFont val="Arial"/>
        <family val="2"/>
      </rPr>
      <t xml:space="preserve">  This is the data rate, not the symbol rate.</t>
    </r>
  </si>
  <si>
    <t>This is simply = 10log(R); R= data rate</t>
  </si>
  <si>
    <t>The selected value is transferred from the "Modulation-Demodulation W/S, Cells [F33:F50]</t>
  </si>
  <si>
    <t>System Allowed or Specified Bit-Error-Rate:</t>
  </si>
  <si>
    <t>Spacecraft Slot (Longitude):</t>
  </si>
  <si>
    <t>User is:</t>
  </si>
  <si>
    <t>East of Sat?</t>
  </si>
  <si>
    <t>Quad NE</t>
  </si>
  <si>
    <t>Quad NW</t>
  </si>
  <si>
    <t>Quad SE</t>
  </si>
  <si>
    <t>Quad SW</t>
  </si>
  <si>
    <t>0° to 90°</t>
  </si>
  <si>
    <t>270° to 360°</t>
  </si>
  <si>
    <t>90° to 180°</t>
  </si>
  <si>
    <t>Latitude</t>
  </si>
  <si>
    <t>In N. Hem?</t>
  </si>
  <si>
    <t>Satellite is to South if "1", North if "0"</t>
  </si>
  <si>
    <t>Satellite is to North if "1", South if "0"</t>
  </si>
  <si>
    <t>Satellite is to West if "1", East if "0"</t>
  </si>
  <si>
    <t>Satellite is to East if "1", West if "0"</t>
  </si>
  <si>
    <t>180° to 270°</t>
  </si>
  <si>
    <r>
      <t xml:space="preserve"> </t>
    </r>
    <r>
      <rPr>
        <b/>
        <sz val="10"/>
        <rFont val="Symbol"/>
        <family val="1"/>
      </rPr>
      <t>D</t>
    </r>
    <r>
      <rPr>
        <b/>
        <sz val="10"/>
        <rFont val="Arial"/>
        <family val="2"/>
      </rPr>
      <t xml:space="preserve"> Longitude</t>
    </r>
  </si>
  <si>
    <t>Azimuth Calc.</t>
  </si>
  <si>
    <t>Azimuth Result:</t>
  </si>
  <si>
    <r>
      <t xml:space="preserve">Enter Slot Postion in Degrees East Longitude (NOTE: </t>
    </r>
    <r>
      <rPr>
        <sz val="10"/>
        <rFont val="Symbol"/>
        <family val="1"/>
      </rPr>
      <t xml:space="preserve">D </t>
    </r>
    <r>
      <rPr>
        <sz val="10"/>
        <rFont val="Arial"/>
        <family val="2"/>
      </rPr>
      <t xml:space="preserve">Longitude </t>
    </r>
    <r>
      <rPr>
        <sz val="10"/>
        <rFont val="Symbol"/>
        <family val="1"/>
      </rPr>
      <t>£</t>
    </r>
    <r>
      <rPr>
        <sz val="10"/>
        <rFont val="Arial"/>
        <family val="2"/>
      </rPr>
      <t xml:space="preserve"> 81.3</t>
    </r>
    <r>
      <rPr>
        <sz val="10"/>
        <rFont val="Arial"/>
        <family val="2"/>
      </rPr>
      <t>°) [- = W. Long.; + = E. Long.]</t>
    </r>
  </si>
  <si>
    <t>The distance from the GEO satellite to the user.  This Value used in Link Budget Path Loss Calculation.</t>
  </si>
  <si>
    <t>This is the Elevation Angle to the GEO spacecraft from the User (latitude and longitude) site.</t>
  </si>
  <si>
    <t>Quad. Result:</t>
  </si>
  <si>
    <t>Quad Angle Range:</t>
  </si>
  <si>
    <t>Sat. in Quad?</t>
  </si>
  <si>
    <t>The angle measured from Earth center between the sub-satellite point and the ground station location.</t>
  </si>
  <si>
    <t>Operator Estimate of Implementation Loss</t>
  </si>
  <si>
    <r>
      <t>E</t>
    </r>
    <r>
      <rPr>
        <b/>
        <sz val="8"/>
        <rFont val="Arial"/>
        <family val="2"/>
      </rPr>
      <t>b</t>
    </r>
    <r>
      <rPr>
        <b/>
        <sz val="10"/>
        <rFont val="Arial"/>
        <family val="2"/>
      </rPr>
      <t>/N</t>
    </r>
    <r>
      <rPr>
        <b/>
        <sz val="8"/>
        <rFont val="Arial"/>
        <family val="2"/>
      </rPr>
      <t>o</t>
    </r>
    <r>
      <rPr>
        <b/>
        <sz val="10"/>
        <rFont val="Arial"/>
        <family val="2"/>
      </rPr>
      <t>:</t>
    </r>
  </si>
  <si>
    <t>Threshold</t>
  </si>
  <si>
    <t>Demodulator Implementation Loss:</t>
  </si>
  <si>
    <t>Eb/No Threshold:</t>
  </si>
  <si>
    <t xml:space="preserve">one.  But, if you move the curser over the far left icon you will notice the pop-up prompt now says "edit cell."  Now, move the curser </t>
  </si>
  <si>
    <t xml:space="preserve">over the "NOTE:" cell and left click then left click on the same far left icon.  This will allow you to edit the cell BUT it will also FREEZE   </t>
  </si>
  <si>
    <t xml:space="preserve">the cell in the ON condition.  Now, you can move the note around by using the slide bars on the side and bottom of the screen to see  </t>
  </si>
  <si>
    <t xml:space="preserve">all of the note.  It's probably a good idea not to modify the note.  You can close the note by just moving the cursor to an empty cell </t>
  </si>
  <si>
    <t xml:space="preserve">somewhere and left clicking.  It is suggested that you try this process now with the test note above at Cell [D23].  It's been set up </t>
  </si>
  <si>
    <t>to frustrate you in just such a way as the real notes might do later on.</t>
  </si>
  <si>
    <t xml:space="preserve"> These are cells containing important but, intermediate results.  Two colors were used to provide a slight gradation </t>
  </si>
  <si>
    <r>
      <t xml:space="preserve">   Beam Roll-Off &amp; Sidelobe Positions Based on Sin</t>
    </r>
    <r>
      <rPr>
        <b/>
        <sz val="12"/>
        <rFont val="Arial"/>
        <family val="2"/>
      </rPr>
      <t>²</t>
    </r>
    <r>
      <rPr>
        <b/>
        <sz val="12"/>
        <rFont val="Arial"/>
        <family val="2"/>
      </rPr>
      <t xml:space="preserve"> (θ)/ θ</t>
    </r>
    <r>
      <rPr>
        <b/>
        <sz val="12"/>
        <rFont val="Arial"/>
        <family val="2"/>
      </rPr>
      <t>²</t>
    </r>
    <r>
      <rPr>
        <b/>
        <sz val="12"/>
        <rFont val="Arial"/>
        <family val="2"/>
      </rPr>
      <t xml:space="preserve"> Formulation</t>
    </r>
  </si>
  <si>
    <t>S/C</t>
  </si>
  <si>
    <t>of importance.  The orange color is considered to be a result having slightly more significance than the lighter yellow cell.</t>
  </si>
  <si>
    <t>The selected value is transferred from the "Modulation-Demodulation W/S, Cells [E33:E50]</t>
  </si>
  <si>
    <t>This is the result of the "Modulation-Demodulation" W/S and is transferred from Cell [H32]</t>
  </si>
  <si>
    <t>Signal Spectrum Must Pass Through This Data Filter</t>
  </si>
  <si>
    <t>Analog or Digital System Required S/N:</t>
  </si>
  <si>
    <t xml:space="preserve">100% (the ususal setting) to 75% or 85%.  This should allow you to see all of the note.  2) Alternatively, using the mouse, select from </t>
  </si>
  <si>
    <t>data entry cell.  It is anticipated that your system's selected value is quite likely to be different than the default value used in the cell when you</t>
  </si>
  <si>
    <t xml:space="preserve">  This is also a data entry cell.  This type of cell may not need to be changed as the value you are likely to use may be the same </t>
  </si>
  <si>
    <t xml:space="preserve">  as the default value.</t>
  </si>
  <si>
    <t xml:space="preserve">  Sometimes an olive green cell will be used to re-emphasize a frequency selection as in the "System Performance Summary" W/S.</t>
  </si>
  <si>
    <t xml:space="preserve">    Slant Range for Orbit Option Selected:</t>
  </si>
  <si>
    <t xml:space="preserve">"Orbit" worksheet is matched against the closest fit from the table and the </t>
  </si>
  <si>
    <t xml:space="preserve">choice made in the "Orbit" worksheet.  If the "User Defined" option is selected by the   </t>
  </si>
  <si>
    <r>
      <t>Lp = 22 + 20LOG(D/</t>
    </r>
    <r>
      <rPr>
        <sz val="10"/>
        <rFont val="Symbol"/>
        <family val="1"/>
      </rPr>
      <t>l</t>
    </r>
    <r>
      <rPr>
        <sz val="10"/>
        <rFont val="Arial"/>
        <family val="2"/>
      </rPr>
      <t>); Transferred from "Frequency" W/S</t>
    </r>
  </si>
  <si>
    <r>
      <t xml:space="preserve">is clearly referred to as such in the budget </t>
    </r>
    <r>
      <rPr>
        <i/>
        <sz val="10"/>
        <rFont val="Arial"/>
        <family val="2"/>
      </rPr>
      <t>parameter</t>
    </r>
    <r>
      <rPr>
        <sz val="10"/>
        <rFont val="Arial"/>
        <family val="2"/>
      </rPr>
      <t xml:space="preserve"> column, it can have a positive sign.  That is the case in this link budget.  All losses are shown </t>
    </r>
  </si>
  <si>
    <r>
      <t xml:space="preserve">The important thing for the link model operator to know when using this modeling system is that the losses are show as positive values </t>
    </r>
    <r>
      <rPr>
        <b/>
        <sz val="10"/>
        <rFont val="Arial"/>
        <family val="2"/>
      </rPr>
      <t>BUT</t>
    </r>
    <r>
      <rPr>
        <sz val="10"/>
        <rFont val="Arial"/>
        <family val="2"/>
      </rPr>
      <t>,</t>
    </r>
  </si>
  <si>
    <r>
      <t xml:space="preserve">in the equations that sum the gains and losses to yield the result, the gains are </t>
    </r>
    <r>
      <rPr>
        <i/>
        <sz val="10"/>
        <rFont val="Arial"/>
        <family val="2"/>
      </rPr>
      <t>added</t>
    </r>
    <r>
      <rPr>
        <sz val="10"/>
        <rFont val="Arial"/>
        <family val="2"/>
      </rPr>
      <t xml:space="preserve"> and the losses are </t>
    </r>
    <r>
      <rPr>
        <i/>
        <sz val="10"/>
        <rFont val="Arial"/>
        <family val="2"/>
      </rPr>
      <t>subtracted</t>
    </r>
    <r>
      <rPr>
        <sz val="10"/>
        <rFont val="Arial"/>
        <family val="2"/>
      </rPr>
      <t xml:space="preserve">.  For example, </t>
    </r>
  </si>
  <si>
    <t xml:space="preserve">see the equation in Cell [B11] of the "Uplink" W/S. </t>
  </si>
  <si>
    <t xml:space="preserve">Uplink or Downlink pages.  </t>
  </si>
  <si>
    <t>The usefulness of a tool is to be able to explore a specific tradeoff without having to worry about that data winding up in the formal</t>
  </si>
  <si>
    <t xml:space="preserve">  Starting with the "Title Page" W/S, proceed through each Speciality W/S, adding data,  </t>
  </si>
  <si>
    <t xml:space="preserve">in sequence. Then select the next tab at the bottom of the W/S.  The "Uplink", "Downlink" and "System Performance Summary" W/Ss </t>
  </si>
  <si>
    <r>
      <t xml:space="preserve">explored and used as they may be helpful to you.  Any comments you may have on this model will be greatfully received by me.  </t>
    </r>
    <r>
      <rPr>
        <b/>
        <sz val="10"/>
        <rFont val="Arial"/>
        <family val="2"/>
      </rPr>
      <t>Thanks!</t>
    </r>
  </si>
  <si>
    <r>
      <t xml:space="preserve">Jackson, R.B., </t>
    </r>
    <r>
      <rPr>
        <i/>
        <sz val="10"/>
        <rFont val="Arial"/>
        <family val="2"/>
      </rPr>
      <t xml:space="preserve">The Canted Turnstile as an Omnidirectional Spacecraft Antenna, </t>
    </r>
    <r>
      <rPr>
        <sz val="10"/>
        <rFont val="Arial"/>
        <family val="2"/>
      </rPr>
      <t>X-712-67-441, NASA/Goddard Space Flight Center, 1967, Entire Document.</t>
    </r>
  </si>
  <si>
    <t>dBi (L or C)</t>
  </si>
  <si>
    <t>System Link Margin</t>
  </si>
  <si>
    <r>
      <t>G/T = Ga-L</t>
    </r>
    <r>
      <rPr>
        <sz val="8"/>
        <rFont val="Arial"/>
        <family val="2"/>
      </rPr>
      <t>tl</t>
    </r>
    <r>
      <rPr>
        <sz val="10"/>
        <rFont val="Arial"/>
        <family val="2"/>
      </rPr>
      <t>-10log(T</t>
    </r>
    <r>
      <rPr>
        <sz val="8"/>
        <rFont val="Arial"/>
        <family val="2"/>
      </rPr>
      <t>s</t>
    </r>
    <r>
      <rPr>
        <sz val="10"/>
        <rFont val="Arial"/>
        <family val="2"/>
      </rPr>
      <t>).  This is the uptimate measure of the receiver's performance.</t>
    </r>
  </si>
  <si>
    <r>
      <t>G/T = Ga-L</t>
    </r>
    <r>
      <rPr>
        <sz val="8"/>
        <rFont val="Arial"/>
        <family val="2"/>
      </rPr>
      <t>tl</t>
    </r>
    <r>
      <rPr>
        <sz val="10"/>
        <rFont val="Arial"/>
        <family val="2"/>
      </rPr>
      <t>-10log(T</t>
    </r>
    <r>
      <rPr>
        <sz val="8"/>
        <rFont val="Arial"/>
        <family val="2"/>
      </rPr>
      <t>s</t>
    </r>
    <r>
      <rPr>
        <sz val="10"/>
        <rFont val="Arial"/>
        <family val="2"/>
      </rPr>
      <t>). This is the ultimate measure of the receiver's performance.</t>
    </r>
  </si>
  <si>
    <r>
      <t>Ps = P</t>
    </r>
    <r>
      <rPr>
        <sz val="8"/>
        <rFont val="Arial"/>
        <family val="2"/>
      </rPr>
      <t>iso</t>
    </r>
    <r>
      <rPr>
        <sz val="10"/>
        <rFont val="Arial"/>
        <family val="2"/>
      </rPr>
      <t>+G</t>
    </r>
    <r>
      <rPr>
        <sz val="8"/>
        <rFont val="Arial"/>
        <family val="2"/>
      </rPr>
      <t>a</t>
    </r>
    <r>
      <rPr>
        <sz val="10"/>
        <rFont val="Arial"/>
        <family val="2"/>
      </rPr>
      <t>-L</t>
    </r>
    <r>
      <rPr>
        <sz val="8"/>
        <rFont val="Arial"/>
        <family val="2"/>
      </rPr>
      <t>pl</t>
    </r>
    <r>
      <rPr>
        <sz val="10"/>
        <rFont val="Arial"/>
        <family val="2"/>
      </rPr>
      <t>-L</t>
    </r>
    <r>
      <rPr>
        <sz val="8"/>
        <rFont val="Arial"/>
        <family val="2"/>
      </rPr>
      <t xml:space="preserve">tl;  </t>
    </r>
    <r>
      <rPr>
        <sz val="10"/>
        <rFont val="Arial"/>
        <family val="2"/>
      </rPr>
      <t>This is the signal power that has arrived at the ground station receiver.</t>
    </r>
  </si>
  <si>
    <t>Ground Station Receiver Bandwidth (B):</t>
  </si>
  <si>
    <t>Ps/Pn = Ps(in dBW) - Pn(in dBW)</t>
  </si>
  <si>
    <t>If system is digital, use values from "Modulation-Demodulation" W/S.  If analog, use appropriate value from text book.</t>
  </si>
  <si>
    <t>Transmitter power expressed in dB above one watt</t>
  </si>
  <si>
    <t>Transmitter power expressed in dB above one milliwatt</t>
  </si>
  <si>
    <t>This value is transferred from "Transmitters" W/S, Cell [I33]</t>
  </si>
  <si>
    <t>Ground Station  (EbNo Method):</t>
  </si>
  <si>
    <t>NOTE:  Click " + " above column K to restore comment column.</t>
  </si>
  <si>
    <t>This value is calculated in the "Polarization Loss" W/S and is transferred from Cell [F60].</t>
  </si>
  <si>
    <t>Ground Station Transmitter Power Output:</t>
  </si>
  <si>
    <t>Ground Stn. Total Transmission Line Losses:</t>
  </si>
  <si>
    <t>This value is transferred from "Transmitters" W/S, Cell [E50]</t>
  </si>
  <si>
    <t>This value is transferred from "Transmitters" W/S, Cell [E15].</t>
  </si>
  <si>
    <t>This value is transferred from "Transmitters" W/S, Cell [I68]</t>
  </si>
  <si>
    <t>Gnd-to-S/C Antenna Polarization Losses:</t>
  </si>
  <si>
    <t>Peak Gain at:</t>
  </si>
  <si>
    <t>Elevation</t>
  </si>
  <si>
    <t>(-3dB gain loss)</t>
  </si>
  <si>
    <t>Outer Ring:</t>
  </si>
  <si>
    <t>(Add this value to 0.0 dB)</t>
  </si>
  <si>
    <t>Azimuth Cut:</t>
  </si>
  <si>
    <t>DIPOLE ELEVATION  PATTERN</t>
  </si>
  <si>
    <t>This value is calculated in the "Polarization Loss" W/S and is transferred from Cell [F40].</t>
  </si>
  <si>
    <t>This is the signal level received at the Earth in the vacinity of the ground station using an omnidirectional antenna.</t>
  </si>
  <si>
    <t>Forward Error Correction Coding Used:</t>
  </si>
  <si>
    <t>This value is calculated in the "Receivers" W/S and Transferred from Cell [J67]</t>
  </si>
  <si>
    <t xml:space="preserve">This value is transferred from the "Receivers" W/S, Cell [J52] </t>
  </si>
  <si>
    <t>Demodulation Method Seleted:</t>
  </si>
  <si>
    <t>Value selected in "Modulation-Demodulation" W/S, also Cell [E30]</t>
  </si>
  <si>
    <t>Values selected in "Modulation-Demodulation W/S, Cell [E30]</t>
  </si>
  <si>
    <t>Values selected in "Modulation-Demodulation W/S, Cell [E3]</t>
  </si>
  <si>
    <t>Value selected in "Modulation-Demodulation" W/S, also Cell [E3]</t>
  </si>
  <si>
    <t>The selected value is transferred from the "Modulation-Demodulation W/S, Cells [E6:E23]</t>
  </si>
  <si>
    <t>This value is transferred from  the "Modulation-Demodulation W/S, Cell[E52]</t>
  </si>
  <si>
    <t>This value is transferred from the "Modulation-Demodulation W/S, Cell[E25]</t>
  </si>
  <si>
    <t>The selected value is transferred from the "Modulation-Demodulation W/S, Cells [F6:F23]</t>
  </si>
  <si>
    <t>Signal Spectrum Must Pass Through This Data Filter.</t>
  </si>
  <si>
    <t>Spacecraft Receiver Noise Power (Pn = kTB)</t>
  </si>
  <si>
    <t xml:space="preserve"> NOTE:</t>
  </si>
  <si>
    <r>
      <t>Pn</t>
    </r>
    <r>
      <rPr>
        <sz val="10"/>
        <rFont val="Arial"/>
        <family val="2"/>
      </rPr>
      <t xml:space="preserve"> = K + 10log(Ts) + 10log(B).  This is the total noise power arriving at the ground station receiver.</t>
    </r>
  </si>
  <si>
    <t>Spacecraft (Eb/No Method):</t>
  </si>
  <si>
    <t>NOTE:  Click " + " above column J to restore comment column.</t>
  </si>
  <si>
    <t>Command System Eb/No:</t>
  </si>
  <si>
    <t>System Performance Summary:</t>
  </si>
  <si>
    <t xml:space="preserve">    R = </t>
  </si>
  <si>
    <t>Link Margin:</t>
  </si>
  <si>
    <t xml:space="preserve">    G/T =</t>
  </si>
  <si>
    <t>(Used Only in S/N Calc.)</t>
  </si>
  <si>
    <t>S/N Method:</t>
  </si>
  <si>
    <t>Spec. B.E.R.:</t>
  </si>
  <si>
    <t>DOWNLINK SYSTEM:</t>
  </si>
  <si>
    <t>Angle between S/C antenna symmetry axis</t>
  </si>
  <si>
    <t>GROUND RCVR Eb/No:</t>
  </si>
  <si>
    <t>SOME KEY ORBIT &amp; LINK PARAMETERS</t>
  </si>
  <si>
    <t>(Used only in S/N Calc.)</t>
  </si>
  <si>
    <t>silver over copper over steel 0.039" (1 mm) dia.  Typically used with SMA or even TNC connectors.  This is a very rugged cable type.</t>
  </si>
  <si>
    <t xml:space="preserve">Link Margin: </t>
  </si>
  <si>
    <t>none</t>
  </si>
  <si>
    <t>Other In-Line Device Type:</t>
  </si>
  <si>
    <t>(See "VSWR Loss Tool" W/S)</t>
  </si>
  <si>
    <t>Measured or Estimated VSWR:</t>
  </si>
  <si>
    <t>Transmitter Power Output:</t>
  </si>
  <si>
    <t>Power Reflected and Lost:</t>
  </si>
  <si>
    <t>Power Transmitted:</t>
  </si>
  <si>
    <r>
      <t>:</t>
    </r>
    <r>
      <rPr>
        <sz val="10"/>
        <rFont val="Arial"/>
        <family val="2"/>
      </rPr>
      <t>1</t>
    </r>
  </si>
  <si>
    <t>This value should be entered in the "Transmitters" W/S</t>
  </si>
  <si>
    <t xml:space="preserve"> at Cell [I31].</t>
  </si>
  <si>
    <t>Power Loss due to Mismatch (dB):</t>
  </si>
  <si>
    <t>Forward Power Measured:</t>
  </si>
  <si>
    <t>Reverse Power Measured:</t>
  </si>
  <si>
    <t>VSWR:</t>
  </si>
  <si>
    <t xml:space="preserve">     Ground Station Systems:</t>
  </si>
  <si>
    <t>Best Internet Cable Loss Calculator:</t>
  </si>
  <si>
    <t>http://www.timesmicrowave.com/cgi-bin/calculate.pl</t>
  </si>
  <si>
    <t>2nd Best Internet Cable Loss Calculator:</t>
  </si>
  <si>
    <t>http://www.ocarc.ca/coax.htm</t>
  </si>
  <si>
    <t>Coax Cable Loss Tables:</t>
  </si>
  <si>
    <t>http://www.radio-ware.com/products/techinfo/coax.loss.htm</t>
  </si>
  <si>
    <t>http://www.meteorscatter.net/cable.htm</t>
  </si>
  <si>
    <t>Wave Guide Loss Table:</t>
  </si>
  <si>
    <t>Spacecraft Systems:</t>
  </si>
  <si>
    <t>Attenuation (dB/100 m):</t>
  </si>
  <si>
    <t>Attenuation (dB/m):</t>
  </si>
  <si>
    <t>dB/100m</t>
  </si>
  <si>
    <t>-</t>
  </si>
  <si>
    <t>dB/m</t>
  </si>
  <si>
    <t xml:space="preserve">       Frequency:</t>
  </si>
  <si>
    <t>Band:</t>
  </si>
  <si>
    <t>Cable Length:</t>
  </si>
  <si>
    <t>Cable Loss:</t>
  </si>
  <si>
    <t>for short cable runs.  The shield is silver plated copper (19 strands, each #33AWG).  Typically used with SMA or SMC connectors.</t>
  </si>
  <si>
    <t>the upper toolbar, "View", "Toolbars", and select the one called "Reviewing".  There should now be a checkmark to the left of that option.</t>
  </si>
  <si>
    <t>threshould but, is considered marginal.</t>
  </si>
  <si>
    <t xml:space="preserve">     Antenna Length:</t>
  </si>
  <si>
    <r>
      <t>Gains can also be negative (remember, the gain of an antenna is expressed as 10log(P/P</t>
    </r>
    <r>
      <rPr>
        <sz val="8"/>
        <rFont val="Arial"/>
        <family val="2"/>
      </rPr>
      <t>isotropic</t>
    </r>
    <r>
      <rPr>
        <sz val="10"/>
        <rFont val="Arial"/>
        <family val="2"/>
      </rPr>
      <t>).  So, if the gain in a particular direction, is below that of an</t>
    </r>
  </si>
  <si>
    <t xml:space="preserve">as being a positive value.  The argument is symantic.  The question could be asked, "Is a positive loss a negative?  And is a negative loss, positive?  </t>
  </si>
  <si>
    <t xml:space="preserve">contained in one or more of the other W/Ss.  These worksheets, taken together, constitute the link model.  The next 5 W/Ss are supplementary </t>
  </si>
  <si>
    <t>Isotropic Signal Level at Spacecraft:</t>
  </si>
  <si>
    <t>This is the signal level received in space in the vacinity of the spacecraft using an omnidirectional antenna.</t>
  </si>
  <si>
    <t>Revised All "Pop-up" Notes; Corrected some cell colors to improve consistancy; Added reference 9; Corrected cells A19 &amp; D19 in "Uplink" W/S.</t>
  </si>
  <si>
    <r>
      <t>RG-188 A/U:</t>
    </r>
    <r>
      <rPr>
        <sz val="10"/>
        <rFont val="Arial"/>
        <family val="2"/>
      </rPr>
      <t xml:space="preserve">  A PTFE (Teflon)-wrapped "clean" cable for general purpose spacecraft transmission lines.</t>
    </r>
  </si>
  <si>
    <r>
      <t xml:space="preserve">Measured </t>
    </r>
    <r>
      <rPr>
        <b/>
        <sz val="10"/>
        <rFont val="Arial"/>
        <family val="2"/>
      </rPr>
      <t>Z</t>
    </r>
    <r>
      <rPr>
        <b/>
        <sz val="8"/>
        <rFont val="Arial"/>
        <family val="2"/>
      </rPr>
      <t>tx</t>
    </r>
    <r>
      <rPr>
        <sz val="10"/>
        <rFont val="Arial"/>
        <family val="2"/>
      </rPr>
      <t>:</t>
    </r>
  </si>
  <si>
    <r>
      <t xml:space="preserve">Measured </t>
    </r>
    <r>
      <rPr>
        <b/>
        <sz val="10"/>
        <rFont val="Arial"/>
        <family val="2"/>
      </rPr>
      <t>Z</t>
    </r>
    <r>
      <rPr>
        <b/>
        <sz val="8"/>
        <rFont val="Arial"/>
        <family val="2"/>
      </rPr>
      <t>sys</t>
    </r>
    <r>
      <rPr>
        <sz val="10"/>
        <rFont val="Arial"/>
        <family val="2"/>
      </rPr>
      <t>:</t>
    </r>
  </si>
  <si>
    <t>Losses are moderate per unit length as the cable diameter is  0.195" (4.95 mm).  The losses are quite acceptable even</t>
  </si>
  <si>
    <t>Organization:</t>
  </si>
  <si>
    <t xml:space="preserve">      S/C Spinning and NADIR-Pointing at Apogee</t>
  </si>
  <si>
    <t>Height of Apogee:</t>
  </si>
  <si>
    <t>Height of Perigee:</t>
  </si>
  <si>
    <t>CASE NO. SELECTED:</t>
  </si>
  <si>
    <t>km Altitude</t>
  </si>
  <si>
    <t>CASE:</t>
  </si>
  <si>
    <t>R(km):</t>
  </si>
  <si>
    <t>M(deg.):</t>
  </si>
  <si>
    <t>altitude (km):</t>
  </si>
  <si>
    <t>S/C off-point angle:</t>
  </si>
  <si>
    <t xml:space="preserve">S/C rcvr. ant. temp.(K) </t>
  </si>
  <si>
    <t>WORST CASE SQUINT ANGLE:</t>
  </si>
  <si>
    <t>RX ANTENNA POINTING LOSS:</t>
  </si>
  <si>
    <t>TX ANTENNA POINTING LOSS:</t>
  </si>
  <si>
    <t>User Defined Case:</t>
  </si>
  <si>
    <t>System Orbit Characteristics:</t>
  </si>
  <si>
    <t>Low Earth Orbit Properties</t>
  </si>
  <si>
    <t>HEO Orbit Properties</t>
  </si>
  <si>
    <t>Comment(s):</t>
  </si>
  <si>
    <t>Earth Central Angle:</t>
  </si>
  <si>
    <t>User Azimuth Angle:</t>
  </si>
  <si>
    <t>This is the azimuth angle to the GEO spacecraft from the User (latitude and longitude) site.</t>
  </si>
  <si>
    <t>User #1:</t>
  </si>
  <si>
    <t>Geostationary Altitude:</t>
  </si>
  <si>
    <t>Height Above Geoid</t>
  </si>
  <si>
    <t>Equatorial Radius of Earth (Re):</t>
  </si>
  <si>
    <t>Geostationary semi major axis</t>
  </si>
  <si>
    <t>Accurate to 1/10 meter</t>
  </si>
  <si>
    <t>Typical Path Length:</t>
  </si>
  <si>
    <t>Shortest Path Length:</t>
  </si>
  <si>
    <t>Longest Path Length:</t>
  </si>
  <si>
    <t>Path Length to User Terminal from Spacecraft</t>
  </si>
  <si>
    <t>User at typical Longitude difference from satellite and at mean latitude.</t>
  </si>
  <si>
    <t>User at same longitude as satellite and at the equator</t>
  </si>
  <si>
    <t>LEO Orbit -  Option #1</t>
  </si>
  <si>
    <t>High Earth Orbit (HEO) - Option #2</t>
  </si>
  <si>
    <t>User Latitude:</t>
  </si>
  <si>
    <t>User Longitude:</t>
  </si>
  <si>
    <t>+ = North Latitude; - = South Latitude</t>
  </si>
  <si>
    <t>+ = East Longitude; - = West Longitude</t>
  </si>
  <si>
    <t>Slant Range to User:</t>
  </si>
  <si>
    <t>Geostationary Earth Orbit (GEO) - Option #3</t>
  </si>
  <si>
    <t>User at  max. longitude difference from satellite and at max. latitude (0.0° User Elevation Angle).</t>
  </si>
  <si>
    <t>LEO</t>
  </si>
  <si>
    <t>HEO</t>
  </si>
  <si>
    <t>GEO</t>
  </si>
  <si>
    <t>Select Orbit Option:</t>
  </si>
  <si>
    <t>Slant Range:</t>
  </si>
  <si>
    <t>Used in Path Loss Calculation</t>
  </si>
  <si>
    <t>Option No.:</t>
  </si>
  <si>
    <t xml:space="preserve">   Slant Range (S): </t>
  </si>
  <si>
    <t>User Elevation Angle:</t>
  </si>
  <si>
    <t xml:space="preserve">for longer S/C cable runs.  The cable is double shielded with two silver coated copper braids.  The center conductor is </t>
  </si>
  <si>
    <t>Losses are moderate per unit length as the cable diameter is  0.170" (4.32 mm).  The losses are quite acceptable even</t>
  </si>
  <si>
    <t>This is the most commonly used cable for short coax runs in very small spacecraft but, connector installation is moderately difficult.</t>
  </si>
  <si>
    <t>solid copper AWG #18.  Typically used with SMA or even TNC connectors.  Connector installation is moderately difficult.</t>
  </si>
  <si>
    <t>Data courtesy K1TTT, W3LPL, PE1OYF, DJ5RH</t>
  </si>
  <si>
    <t>Data courtesy K1TTT, W3LPL,PE1OYF, DJ5RH</t>
  </si>
  <si>
    <r>
      <t>RG-142 A/U:</t>
    </r>
    <r>
      <rPr>
        <sz val="10"/>
        <rFont val="Arial"/>
        <family val="2"/>
      </rPr>
      <t xml:space="preserve">  An FEP (Teflon) solid covered "clean" cable for general purpose spacecraft transmission lines.</t>
    </r>
  </si>
  <si>
    <t>Can not find data source. Data estimated by VK4GEY.</t>
  </si>
  <si>
    <t>Ground Station Feedline Temperature:</t>
  </si>
  <si>
    <r>
      <t>RG-303 /U:</t>
    </r>
    <r>
      <rPr>
        <sz val="10"/>
        <rFont val="Arial"/>
        <family val="2"/>
      </rPr>
      <t xml:space="preserve">  A PTFE (Teflon) solid covered "clean" cable for ruggedized spacecraft transmission line applications.</t>
    </r>
  </si>
  <si>
    <r>
      <t xml:space="preserve">50 </t>
    </r>
    <r>
      <rPr>
        <sz val="10"/>
        <rFont val="Symbol"/>
        <family val="1"/>
      </rPr>
      <t>W</t>
    </r>
    <r>
      <rPr>
        <sz val="10"/>
        <rFont val="Arial"/>
        <family val="2"/>
      </rPr>
      <t xml:space="preserve"> </t>
    </r>
    <r>
      <rPr>
        <b/>
        <sz val="10"/>
        <rFont val="Arial"/>
        <family val="2"/>
      </rPr>
      <t xml:space="preserve">Semi-Rigid Cable (0.085" dia.):  </t>
    </r>
    <r>
      <rPr>
        <sz val="10"/>
        <rFont val="Arial"/>
        <family val="2"/>
      </rPr>
      <t xml:space="preserve">Semi-Rigid cable is intended to be bent and/or formed one time and then left in position.  This   </t>
    </r>
  </si>
  <si>
    <t>Turbo Code (Parallel w. Interleaver)</t>
  </si>
  <si>
    <t>2.1.4</t>
  </si>
  <si>
    <t>Added Tubo Code Option to "Modulation-Demodulation Method" W/S.</t>
  </si>
  <si>
    <t xml:space="preserve">(2.18 mm) and a solid copper inner conductor.  SMA, SMC or TNC connectors can be used and are easily installed.    </t>
  </si>
  <si>
    <t xml:space="preserve">Losses are superior to flexible cables.  </t>
  </si>
  <si>
    <t>Data extrapolated by VK4GEY</t>
  </si>
  <si>
    <r>
      <t xml:space="preserve">50 </t>
    </r>
    <r>
      <rPr>
        <sz val="10"/>
        <rFont val="Symbol"/>
        <family val="1"/>
      </rPr>
      <t>W</t>
    </r>
    <r>
      <rPr>
        <sz val="10"/>
        <rFont val="Arial"/>
        <family val="2"/>
      </rPr>
      <t xml:space="preserve"> </t>
    </r>
    <r>
      <rPr>
        <b/>
        <sz val="10"/>
        <rFont val="Arial"/>
        <family val="2"/>
      </rPr>
      <t xml:space="preserve">Semi-Rigid Cable (0.141" dia.):  </t>
    </r>
    <r>
      <rPr>
        <sz val="10"/>
        <rFont val="Arial"/>
        <family val="2"/>
      </rPr>
      <t xml:space="preserve">Semi-Rigid cable is intended to be bent and/or formed one time and then left in position.  This   </t>
    </r>
  </si>
  <si>
    <t xml:space="preserve">(3.58 mm) and a solid copper inner conductor.  SMA, SMC or TNC connectors can be used and are easily installed.    </t>
  </si>
  <si>
    <r>
      <t>Data courtesy Storm Products Co. [</t>
    </r>
    <r>
      <rPr>
        <b/>
        <sz val="10"/>
        <rFont val="Arial"/>
        <family val="2"/>
      </rPr>
      <t>Bold Text</t>
    </r>
    <r>
      <rPr>
        <sz val="10"/>
        <rFont val="Arial"/>
        <family val="2"/>
      </rPr>
      <t>].</t>
    </r>
  </si>
  <si>
    <r>
      <t>Data courtesy Storm Products Co.[</t>
    </r>
    <r>
      <rPr>
        <b/>
        <sz val="10"/>
        <rFont val="Arial"/>
        <family val="2"/>
      </rPr>
      <t>Bold Text</t>
    </r>
    <r>
      <rPr>
        <sz val="10"/>
        <rFont val="Arial"/>
        <family val="2"/>
      </rPr>
      <t>].</t>
    </r>
  </si>
  <si>
    <t>Don't Change These Formulas</t>
  </si>
  <si>
    <t>W</t>
  </si>
  <si>
    <t>TEST 1</t>
  </si>
  <si>
    <t>TEST 2</t>
  </si>
  <si>
    <t>% of Power</t>
  </si>
  <si>
    <t>Manually Enter Results of Test #1 or Test #2 at Cell [H8]</t>
  </si>
  <si>
    <r>
      <t>|Z</t>
    </r>
    <r>
      <rPr>
        <sz val="8"/>
        <rFont val="Arial"/>
        <family val="2"/>
      </rPr>
      <t>tx</t>
    </r>
    <r>
      <rPr>
        <sz val="10"/>
        <rFont val="Arial"/>
        <family val="2"/>
      </rPr>
      <t>| =</t>
    </r>
  </si>
  <si>
    <r>
      <t>|Z</t>
    </r>
    <r>
      <rPr>
        <sz val="8"/>
        <rFont val="Arial"/>
        <family val="2"/>
      </rPr>
      <t>sys</t>
    </r>
    <r>
      <rPr>
        <sz val="10"/>
        <rFont val="Arial"/>
        <family val="2"/>
      </rPr>
      <t>| =</t>
    </r>
  </si>
  <si>
    <t>Wave Guide Primer:</t>
  </si>
  <si>
    <t>http://www.microwaves101.com/encyclopedia/waveguide.cfm#frequency</t>
  </si>
  <si>
    <t>http://www.advancedmicrowave.com/products/product_frame.htm</t>
  </si>
  <si>
    <t>Transmission Line Loss Tools and Tables:</t>
  </si>
  <si>
    <t>Commonly Used Spacecraft Antenna Radiation Patterns</t>
  </si>
  <si>
    <t>Monopole:</t>
  </si>
  <si>
    <t>Dipole:</t>
  </si>
  <si>
    <t>monopole</t>
  </si>
  <si>
    <t>dipole</t>
  </si>
  <si>
    <t>canted turnstyle</t>
  </si>
  <si>
    <t>quadrifilar helix</t>
  </si>
  <si>
    <t>Monopole Polar Radiation Plot</t>
  </si>
  <si>
    <t>HERE</t>
  </si>
  <si>
    <t>Turnstyle:</t>
  </si>
  <si>
    <t>Quadrifilar:</t>
  </si>
  <si>
    <t>Patch:</t>
  </si>
  <si>
    <t>Quadrifilar Polar Radiation Plot</t>
  </si>
  <si>
    <t>Patch Antenna Polar Radiation Plot</t>
  </si>
  <si>
    <t>NOTE #1:</t>
  </si>
  <si>
    <t>NOTE #2:</t>
  </si>
  <si>
    <t>NOTE #3:</t>
  </si>
  <si>
    <t>NOTE #4:</t>
  </si>
  <si>
    <t>NOTE #5:</t>
  </si>
  <si>
    <t>NOTE #6</t>
  </si>
  <si>
    <t>AMSAT / IARU Annotated Link Model System</t>
  </si>
  <si>
    <t xml:space="preserve">                    Approvals:</t>
  </si>
  <si>
    <t>Com. Eng.</t>
  </si>
  <si>
    <t>P.M.</t>
  </si>
  <si>
    <t>(LEO, HEO, GEO, Deep Space)</t>
  </si>
  <si>
    <t>Orbit Option to be Used in</t>
  </si>
  <si>
    <t>Link Model</t>
  </si>
  <si>
    <t>Config. Control</t>
  </si>
  <si>
    <t>NOTE #7:</t>
  </si>
  <si>
    <t>STATUS</t>
  </si>
  <si>
    <t>LINK MODEL</t>
  </si>
  <si>
    <r>
      <t xml:space="preserve">         Data Taken from </t>
    </r>
    <r>
      <rPr>
        <i/>
        <sz val="10"/>
        <rFont val="Arial"/>
        <family val="2"/>
      </rPr>
      <t>ARRL Antenna Book</t>
    </r>
  </si>
  <si>
    <t xml:space="preserve">  Command Link</t>
  </si>
  <si>
    <t xml:space="preserve">  Telemetry Link:</t>
  </si>
  <si>
    <t xml:space="preserve">           NOTE:</t>
  </si>
  <si>
    <t>Proceed to the "Modulation-Demodulation Method" W/S.</t>
  </si>
  <si>
    <t>If the "Link Model Operator" has selected a</t>
  </si>
  <si>
    <t xml:space="preserve">user option for the frequency, then an </t>
  </si>
  <si>
    <t>estimate of the ionospheric losses must be</t>
  </si>
  <si>
    <t>provided by the operator.</t>
  </si>
  <si>
    <t xml:space="preserve">   (See Plot at Next Worksheet)</t>
  </si>
  <si>
    <t xml:space="preserve">Losses Resulting from  Antenna Mismatch - Measured Using Voltage Standing Wave Ratio(VSWR) Method </t>
  </si>
  <si>
    <t>NOTE #8:</t>
  </si>
  <si>
    <t>Antenna Loss Determination:</t>
  </si>
  <si>
    <t>Introduction,  Instructions for Use,  References,  Revisions:</t>
  </si>
  <si>
    <t xml:space="preserve">  Introduction:</t>
  </si>
  <si>
    <t xml:space="preserve">This spreadsheet system is an attempt to provide a new kind of learning tool.  It is intended, clearly, to be a working link model  in order to allow satellite  </t>
  </si>
  <si>
    <t xml:space="preserve">   Instructions for Use:</t>
  </si>
  <si>
    <t>Colors:</t>
  </si>
  <si>
    <t xml:space="preserve">Also, the cells are not yet protected (and may never be) as the system has not yet been finalized. Color can be used to provide "coded" messages to  </t>
  </si>
  <si>
    <t xml:space="preserve">Color is used for both the text and the cell background.  Some colors have been picked for large field areas where it is not so nice to have the </t>
  </si>
  <si>
    <t>Excel cell grid structure showing.  Typically, light grey</t>
  </si>
  <si>
    <t>light green</t>
  </si>
  <si>
    <t>light yellow</t>
  </si>
  <si>
    <t>or white are used this way.</t>
  </si>
  <si>
    <t xml:space="preserve"> your cursor on the cell.  You don't need to click.  A note will pop up.  These are either local instructions on how to enter data or use </t>
  </si>
  <si>
    <t>data or some form of training note.   You will find that some notes are somewhat larger than the screen.  I've tried hard to avoid this, but</t>
  </si>
  <si>
    <t xml:space="preserve">the screen then the note will close.  Frustration will ensue.  There are two solutions:  1) Reduce the scale of the viewing page from </t>
  </si>
  <si>
    <t xml:space="preserve">I haven't been entirely successful.  The problem with this is that if you scroll to see the rest of the note and if the yellow cell scrolls off of </t>
  </si>
  <si>
    <t xml:space="preserve">Now, you should find a new toolbar up above the text area of Excel.  The far left icon will say "new comment" if you are making a new   </t>
  </si>
  <si>
    <t xml:space="preserve">  Sometimes a tan color cell is used to denote a selected system condition that is non-numeric.</t>
  </si>
  <si>
    <t>X.XX</t>
  </si>
  <si>
    <t>received this link model.</t>
  </si>
  <si>
    <t xml:space="preserve">the link model operator's brain, once it has been used for awhile.  This has been found by the designer to be fairly effective (at least with his brain).   </t>
  </si>
  <si>
    <t>are interconnected in that equations in one W/S refer forward or back to data located in other worksheets. Loss of this connection could be critical.</t>
  </si>
  <si>
    <t>majority of the link model contains this type of cell.</t>
  </si>
  <si>
    <t>the outcome of the preceeding calculations.  Typically a RED box means the result was not successful in achieving the desired performance.</t>
  </si>
  <si>
    <t xml:space="preserve">A GREEN box means the result did meet or exceed the desired performance.  A YELLOW box means the result achieved the performance </t>
  </si>
  <si>
    <t xml:space="preserve">    Sub-Title Box</t>
  </si>
  <si>
    <t>No action need be taken here.  It's purpose is only so that the operator is aware that the data is being transferred from and to other locations.</t>
  </si>
  <si>
    <t>Frequency</t>
  </si>
  <si>
    <t xml:space="preserve"> Non-Coherent FSK</t>
  </si>
  <si>
    <r>
      <t xml:space="preserve">been successful. - Jan A. King, W3GEY and VK4GEY; </t>
    </r>
    <r>
      <rPr>
        <sz val="10"/>
        <rFont val="Arial"/>
        <family val="2"/>
      </rPr>
      <t>w3gey@amsat.org</t>
    </r>
  </si>
  <si>
    <t xml:space="preserve">  A few cells use conditional fomatting which allow the cell colors to change depending on </t>
  </si>
  <si>
    <t xml:space="preserve">isotropic radiator, then the gain will be expressed as a negative number in dBi.  </t>
  </si>
  <si>
    <t xml:space="preserve">  An olive green box is a location where data has been transferred to this worksheet from another and may be transferred to yet another.</t>
  </si>
  <si>
    <t xml:space="preserve">  A pink box like this is simply a sub-title for a sub-worksheet.</t>
  </si>
  <si>
    <t>2.1.1</t>
  </si>
  <si>
    <t xml:space="preserve">Revised Equation at Cell [B15] of "Uplink Budget" W/S.  Index function should use column H values not column C values. </t>
  </si>
  <si>
    <t xml:space="preserve">  This is a key "bottom line" result.  It is a primary output of a particular W/S.</t>
  </si>
  <si>
    <t>2.2.2</t>
  </si>
  <si>
    <t xml:space="preserve">Edited More Notes Throughout Link Model.  </t>
  </si>
  <si>
    <r>
      <t xml:space="preserve">  This is a cell containing an equation or a constant that should not be changed.  </t>
    </r>
    <r>
      <rPr>
        <b/>
        <sz val="10"/>
        <color indexed="10"/>
        <rFont val="Arial"/>
        <family val="2"/>
      </rPr>
      <t>The operator should not modify these cells.</t>
    </r>
    <r>
      <rPr>
        <sz val="10"/>
        <rFont val="Arial"/>
        <family val="2"/>
      </rPr>
      <t xml:space="preserve">  A</t>
    </r>
  </si>
  <si>
    <t xml:space="preserve">  This is a data entry cell.  The link model operator is expected to enter data.  The blue background means it is a critcal </t>
  </si>
  <si>
    <t>Dish Diameter:</t>
  </si>
  <si>
    <t>Dish Aperture Efficiency:</t>
  </si>
  <si>
    <t>This value is selected at "Antenna Gain" W/S, Cell [E24]</t>
  </si>
  <si>
    <t>This value is selected at "Antenna Gain" W/S, Cell [E11]</t>
  </si>
  <si>
    <t>This value is calculated in the "Antenna Pointing Losses" W/S, and transferred from Cell [K43]</t>
  </si>
  <si>
    <t>This value is selected at "Antenna Gain" W/S, Cell [E41]</t>
  </si>
  <si>
    <t>This value is calculated in the "Antenna Pointing Losses" W/S, and trasferred from Cell [K85]</t>
  </si>
  <si>
    <t>LEO Orbit Geometry</t>
  </si>
  <si>
    <t>Orbit</t>
  </si>
  <si>
    <t>Geometry</t>
  </si>
  <si>
    <t>This value is transferred from "Antenna Pointing Losses" W/S, Cell [K102]</t>
  </si>
  <si>
    <t>This value is selected at "Antenna Gain" W/S, Cell [E58]</t>
  </si>
  <si>
    <t>Revised Antenna Gain and Antenna Pointing Losses W/Ss to Include a High Gain (Parabolic Reflector) S/C Antenna Option &amp; Iso. Radiator Option.</t>
  </si>
  <si>
    <t xml:space="preserve">  This is a "pop-up" note.  You will see a lot of single cells throughout the model that look like this.  Using your mouse, place </t>
  </si>
  <si>
    <t xml:space="preserve">  Colors are used in the link model to make it easier to find data and to protect the link model from crashing.  Many of the worksheets</t>
  </si>
  <si>
    <t>2.1.3</t>
  </si>
  <si>
    <t>Modified "Receviers" W/S.  Added loss value for cable D.  Modified 2nd Stage to "Communications Receiver" at Ground Station.</t>
  </si>
  <si>
    <r>
      <t>T</t>
    </r>
    <r>
      <rPr>
        <b/>
        <sz val="8"/>
        <rFont val="Arial"/>
        <family val="2"/>
      </rPr>
      <t>s</t>
    </r>
    <r>
      <rPr>
        <b/>
        <sz val="10"/>
        <rFont val="Arial"/>
        <family val="2"/>
      </rPr>
      <t>= (</t>
    </r>
    <r>
      <rPr>
        <b/>
        <sz val="10"/>
        <rFont val="Symbol"/>
        <family val="1"/>
      </rPr>
      <t>a</t>
    </r>
    <r>
      <rPr>
        <b/>
        <sz val="10"/>
        <rFont val="Arial"/>
        <family val="2"/>
      </rPr>
      <t>)T</t>
    </r>
    <r>
      <rPr>
        <b/>
        <sz val="8"/>
        <rFont val="Arial"/>
        <family val="2"/>
      </rPr>
      <t>a</t>
    </r>
    <r>
      <rPr>
        <b/>
        <sz val="10"/>
        <rFont val="Arial"/>
        <family val="2"/>
      </rPr>
      <t xml:space="preserve"> + (1-</t>
    </r>
    <r>
      <rPr>
        <b/>
        <sz val="10"/>
        <rFont val="Symbol"/>
        <family val="1"/>
      </rPr>
      <t>a</t>
    </r>
    <r>
      <rPr>
        <b/>
        <sz val="10"/>
        <rFont val="Arial"/>
        <family val="2"/>
      </rPr>
      <t>)T</t>
    </r>
    <r>
      <rPr>
        <b/>
        <sz val="8"/>
        <rFont val="Arial"/>
        <family val="2"/>
      </rPr>
      <t xml:space="preserve">o + </t>
    </r>
    <r>
      <rPr>
        <b/>
        <sz val="10"/>
        <rFont val="Arial"/>
        <family val="2"/>
      </rPr>
      <t>T</t>
    </r>
    <r>
      <rPr>
        <b/>
        <sz val="8"/>
        <rFont val="Arial"/>
        <family val="2"/>
      </rPr>
      <t>LNA +</t>
    </r>
    <r>
      <rPr>
        <b/>
        <sz val="10"/>
        <rFont val="Arial"/>
        <family val="2"/>
      </rPr>
      <t xml:space="preserve"> T</t>
    </r>
    <r>
      <rPr>
        <b/>
        <sz val="8"/>
        <rFont val="Arial"/>
        <family val="2"/>
      </rPr>
      <t>ComRcv</t>
    </r>
    <r>
      <rPr>
        <b/>
        <sz val="10"/>
        <rFont val="Arial"/>
        <family val="2"/>
      </rPr>
      <t>r/(G</t>
    </r>
    <r>
      <rPr>
        <b/>
        <sz val="8"/>
        <rFont val="Arial"/>
        <family val="2"/>
      </rPr>
      <t>LNA</t>
    </r>
    <r>
      <rPr>
        <b/>
        <sz val="10"/>
        <rFont val="Arial"/>
        <family val="2"/>
      </rPr>
      <t>/L</t>
    </r>
    <r>
      <rPr>
        <b/>
        <sz val="8"/>
        <rFont val="Arial"/>
        <family val="2"/>
      </rPr>
      <t>D</t>
    </r>
    <r>
      <rPr>
        <b/>
        <sz val="10"/>
        <rFont val="Arial"/>
        <family val="2"/>
      </rPr>
      <t>)</t>
    </r>
  </si>
  <si>
    <t>meteres</t>
  </si>
  <si>
    <t>Cable/Waveguide D Length:</t>
  </si>
  <si>
    <t>Cable/Waveguide D Type:</t>
  </si>
  <si>
    <t>Cable/Waveguide D Loss/meter:</t>
  </si>
  <si>
    <t>Cable/Waveguide D Loss:</t>
  </si>
  <si>
    <t>system designers to design and then document fully the RF radio links associated with Command (uplink)  and Telemetry (downlink) equipment.  It is,</t>
  </si>
  <si>
    <r>
      <t xml:space="preserve">to the model and are considered to be </t>
    </r>
    <r>
      <rPr>
        <i/>
        <sz val="10"/>
        <rFont val="Arial"/>
        <family val="2"/>
      </rPr>
      <t>tools</t>
    </r>
    <r>
      <rPr>
        <sz val="10"/>
        <rFont val="Arial"/>
        <family val="2"/>
      </rPr>
      <t xml:space="preserve">.  The important distinction is, that tools </t>
    </r>
    <r>
      <rPr>
        <i/>
        <sz val="10"/>
        <rFont val="Arial"/>
        <family val="2"/>
      </rPr>
      <t>never</t>
    </r>
    <r>
      <rPr>
        <sz val="10"/>
        <rFont val="Arial"/>
        <family val="2"/>
      </rPr>
      <t xml:space="preserve"> produce results that are automatically linked </t>
    </r>
  </si>
  <si>
    <t xml:space="preserve">  The first 13 W/Ss are all interconnected, in that they all have equations that make use of data </t>
  </si>
  <si>
    <t>Losses in link budgets are commonly found as either positive or negative.  A loss, by it's nature, is a negative quantity but, some believe that if the loss</t>
  </si>
  <si>
    <t xml:space="preserve">  Speciality W/S vs. Tools:</t>
  </si>
  <si>
    <t xml:space="preserve"> Gains and Losses:</t>
  </si>
  <si>
    <t xml:space="preserve">into the model itself, whereas within the first 13 W/Ss there is lots of interlinking going on.  The primary process is one where data </t>
  </si>
  <si>
    <t>Noise Temperature/Noise Figure Calculator (Tool):</t>
  </si>
  <si>
    <r>
      <t xml:space="preserve">example of this is in the "Receivers" W/S.  Contained in separate sub-tables is a </t>
    </r>
    <r>
      <rPr>
        <i/>
        <sz val="10"/>
        <rFont val="Arial"/>
        <family val="2"/>
      </rPr>
      <t>Noise Figure/Noise Temperature Calculator (Tool)</t>
    </r>
    <r>
      <rPr>
        <sz val="10"/>
        <rFont val="Arial"/>
        <family val="2"/>
      </rPr>
      <t xml:space="preserve"> </t>
    </r>
  </si>
  <si>
    <t xml:space="preserve">Ground Station,  Antenna or Sky Noise Temperature Calculation Tool:  </t>
  </si>
  <si>
    <r>
      <t xml:space="preserve">and a </t>
    </r>
    <r>
      <rPr>
        <i/>
        <sz val="10"/>
        <rFont val="Arial"/>
        <family val="2"/>
      </rPr>
      <t>Ground Station, Antenna or Sky Noise Temperature Calculation Tool</t>
    </r>
    <r>
      <rPr>
        <sz val="10"/>
        <rFont val="Arial"/>
        <family val="2"/>
      </rPr>
      <t xml:space="preserve">.  </t>
    </r>
  </si>
  <si>
    <t>There is one additional and imporatant comment about tools.  Within the Speciality W/Ss, there are some embedded tools.  The best</t>
  </si>
  <si>
    <t>These colors have been found by our staff psychologist to have a relaxing effect on the operator.  Now let's look at the important uses of color:</t>
  </si>
  <si>
    <t xml:space="preserve">     Proceeding Through the Model:</t>
  </si>
  <si>
    <t>Jan, VK4GEY.</t>
  </si>
  <si>
    <t xml:space="preserve">contain the final results of the model.  The Tools W/Ss are located beyond the "System Perfomance Summary" W/S and may be </t>
  </si>
  <si>
    <t>Mission Target Object:</t>
  </si>
  <si>
    <t>Mars</t>
  </si>
  <si>
    <t>Current Range to S/C:</t>
  </si>
  <si>
    <t>AU</t>
  </si>
  <si>
    <t xml:space="preserve">             Current Range to S/C:</t>
  </si>
  <si>
    <t>Deep Space</t>
  </si>
  <si>
    <t xml:space="preserve">Slant Range: </t>
  </si>
  <si>
    <t xml:space="preserve">however, also intended to be a tutorial on the RF portion of a satellite system.  The model makes liberal use of "pop-up" notes and "tools" to enhance the </t>
  </si>
  <si>
    <t xml:space="preserve">understanding (and hopefully the knowledge) of the Link Model Operator (that's you).  After you use the model for awhile, let me know if I have </t>
  </si>
  <si>
    <t xml:space="preserve">   References:</t>
  </si>
  <si>
    <t xml:space="preserve">  The following references were used to prepare this link model:</t>
  </si>
  <si>
    <r>
      <t xml:space="preserve">A.R.R.L., </t>
    </r>
    <r>
      <rPr>
        <i/>
        <sz val="10"/>
        <rFont val="Arial"/>
        <family val="2"/>
      </rPr>
      <t xml:space="preserve">The ARRL Antenna Handbook, </t>
    </r>
    <r>
      <rPr>
        <sz val="10"/>
        <rFont val="Arial"/>
        <family val="2"/>
      </rPr>
      <t>American Radio Relay League, 1974, pp. 153-155.</t>
    </r>
  </si>
  <si>
    <r>
      <t xml:space="preserve">Feher, Dr. Kamilo, </t>
    </r>
    <r>
      <rPr>
        <i/>
        <sz val="10"/>
        <rFont val="Arial"/>
        <family val="2"/>
      </rPr>
      <t>Digital Communications, Satellite/Earth Station Engineering</t>
    </r>
    <r>
      <rPr>
        <sz val="10"/>
        <rFont val="Arial"/>
        <family val="2"/>
      </rPr>
      <t>, Prentice-Hall Books, 1983, Chapter 4.</t>
    </r>
  </si>
  <si>
    <r>
      <t xml:space="preserve">Ippolito, L.J.Jr., </t>
    </r>
    <r>
      <rPr>
        <i/>
        <sz val="10"/>
        <rFont val="Arial"/>
        <family val="2"/>
      </rPr>
      <t xml:space="preserve">Radiowave Propagation in Satellite Communications, </t>
    </r>
    <r>
      <rPr>
        <sz val="10"/>
        <rFont val="Arial"/>
        <family val="2"/>
      </rPr>
      <t>Van Norstrand Reinhold Co., 1986, Chapters 3 and 7.</t>
    </r>
  </si>
  <si>
    <r>
      <t xml:space="preserve">Jordan, E.C. (Edit.), </t>
    </r>
    <r>
      <rPr>
        <i/>
        <sz val="10"/>
        <rFont val="Arial"/>
        <family val="2"/>
      </rPr>
      <t>Reference Data for Engineers:  Radio, Electronics, Computer, and Communications, 7th Edition</t>
    </r>
    <r>
      <rPr>
        <sz val="10"/>
        <rFont val="Arial"/>
        <family val="2"/>
      </rPr>
      <t>, Howard W. Sams &amp; Co.,</t>
    </r>
  </si>
  <si>
    <t>1985, pp. 29-26 - 29-37 and pp. 30-03 - 30-11.</t>
  </si>
  <si>
    <r>
      <t xml:space="preserve">Martin, W.L., </t>
    </r>
    <r>
      <rPr>
        <i/>
        <sz val="10"/>
        <rFont val="Arial"/>
        <family val="2"/>
      </rPr>
      <t xml:space="preserve">AMMOS and DSN Support of Earth Orbiting and Deep Space Missions, </t>
    </r>
    <r>
      <rPr>
        <sz val="10"/>
        <rFont val="Arial"/>
        <family val="2"/>
      </rPr>
      <t>Jet Propulsion Laboratory, TMOD Directorate, 1996, p.44-46.</t>
    </r>
  </si>
  <si>
    <r>
      <t xml:space="preserve">Morgan, W.L. and Gordon, G.D., </t>
    </r>
    <r>
      <rPr>
        <i/>
        <sz val="10"/>
        <rFont val="Arial"/>
        <family val="2"/>
      </rPr>
      <t>Principles of Communicaitons Satellites</t>
    </r>
    <r>
      <rPr>
        <sz val="10"/>
        <rFont val="Arial"/>
        <family val="2"/>
      </rPr>
      <t>, John Wiley &amp; Sons, Inc., 1993, Chapter 2 and pp.140-143.</t>
    </r>
  </si>
  <si>
    <r>
      <t xml:space="preserve">Van Wie, D.G. and Roark, R.C., </t>
    </r>
    <r>
      <rPr>
        <i/>
        <sz val="10"/>
        <rFont val="Arial"/>
        <family val="2"/>
      </rPr>
      <t xml:space="preserve">A New Alert Protocol, </t>
    </r>
    <r>
      <rPr>
        <sz val="10"/>
        <rFont val="Arial"/>
        <family val="2"/>
      </rPr>
      <t>Blue Water Design, LLC</t>
    </r>
    <r>
      <rPr>
        <i/>
        <sz val="10"/>
        <rFont val="Arial"/>
        <family val="2"/>
      </rPr>
      <t xml:space="preserve">, 2003, </t>
    </r>
    <r>
      <rPr>
        <sz val="10"/>
        <rFont val="Arial"/>
        <family val="2"/>
      </rPr>
      <t>pp. 18-23.</t>
    </r>
  </si>
  <si>
    <t xml:space="preserve">    Revisions:</t>
  </si>
  <si>
    <t xml:space="preserve">  The following formal revisons have been made to this Link Model System:</t>
  </si>
  <si>
    <t>Version:</t>
  </si>
  <si>
    <t>Date:</t>
  </si>
  <si>
    <r>
      <t>NEW</t>
    </r>
    <r>
      <rPr>
        <sz val="10"/>
        <rFont val="Arial"/>
        <family val="2"/>
      </rPr>
      <t xml:space="preserve">; </t>
    </r>
    <r>
      <rPr>
        <sz val="10"/>
        <rFont val="Symbol"/>
        <family val="1"/>
      </rPr>
      <t>b</t>
    </r>
    <r>
      <rPr>
        <sz val="10"/>
        <rFont val="Arial"/>
        <family val="2"/>
      </rPr>
      <t>-Test Version</t>
    </r>
  </si>
  <si>
    <t>Enter Name of Communications Engineer:</t>
  </si>
  <si>
    <t>Enter Name of Project Manager:</t>
  </si>
  <si>
    <t>Orbit Type:</t>
  </si>
  <si>
    <t>Model/Case No./Rev No.:</t>
  </si>
  <si>
    <t>Date Data Last Modified:</t>
  </si>
  <si>
    <t xml:space="preserve"> </t>
  </si>
  <si>
    <t>Parameter:</t>
  </si>
  <si>
    <t>Value:</t>
  </si>
  <si>
    <t>Unit:</t>
  </si>
  <si>
    <t>Earth Radius:</t>
  </si>
  <si>
    <t>km</t>
  </si>
  <si>
    <t>Semi-Major Axis (a):</t>
  </si>
  <si>
    <t xml:space="preserve">Eccentricity (e): </t>
  </si>
  <si>
    <t>Inclination (I):</t>
  </si>
  <si>
    <t>degrees</t>
  </si>
  <si>
    <r>
      <t>Argument of Perigee (</t>
    </r>
    <r>
      <rPr>
        <sz val="10"/>
        <rFont val="Symbol"/>
        <family val="1"/>
      </rPr>
      <t>w):</t>
    </r>
  </si>
  <si>
    <r>
      <t>R.A.A.N. (</t>
    </r>
    <r>
      <rPr>
        <sz val="10"/>
        <rFont val="Symbol"/>
        <family val="1"/>
      </rPr>
      <t>W):</t>
    </r>
  </si>
  <si>
    <t>Mean Anomaly (M):</t>
  </si>
  <si>
    <t>Period:</t>
  </si>
  <si>
    <t>minutes</t>
  </si>
  <si>
    <r>
      <t>d</t>
    </r>
    <r>
      <rPr>
        <sz val="10"/>
        <rFont val="Symbol"/>
        <family val="1"/>
      </rPr>
      <t>w/</t>
    </r>
    <r>
      <rPr>
        <sz val="10"/>
        <rFont val="Arial"/>
        <family val="2"/>
      </rPr>
      <t>dt:</t>
    </r>
  </si>
  <si>
    <t>deg./day</t>
  </si>
  <si>
    <r>
      <t>d</t>
    </r>
    <r>
      <rPr>
        <sz val="10"/>
        <rFont val="Symbol"/>
        <family val="1"/>
      </rPr>
      <t>W</t>
    </r>
    <r>
      <rPr>
        <sz val="10"/>
        <rFont val="Arial"/>
        <family val="2"/>
      </rPr>
      <t>/dt:</t>
    </r>
  </si>
  <si>
    <t>X</t>
  </si>
  <si>
    <t>Y</t>
  </si>
  <si>
    <t>R</t>
  </si>
  <si>
    <t>X1</t>
  </si>
  <si>
    <t>Y1</t>
  </si>
  <si>
    <t>R1</t>
  </si>
  <si>
    <t>Height of Apogee (ha):</t>
  </si>
  <si>
    <t>Height of Perigee (hp):</t>
  </si>
  <si>
    <t>Blue</t>
  </si>
  <si>
    <t>= User Data Entry Values</t>
  </si>
  <si>
    <t>Red</t>
  </si>
  <si>
    <t>= Key Results</t>
  </si>
  <si>
    <t>Black</t>
  </si>
  <si>
    <t>Mean Orbit Altitude:</t>
  </si>
  <si>
    <r>
      <t>Elevation Angle (</t>
    </r>
    <r>
      <rPr>
        <b/>
        <sz val="10"/>
        <rFont val="Symbol"/>
        <family val="1"/>
      </rPr>
      <t>d</t>
    </r>
    <r>
      <rPr>
        <sz val="10"/>
        <rFont val="Symbol"/>
        <family val="1"/>
      </rPr>
      <t>):</t>
    </r>
  </si>
  <si>
    <t>2.3.2</t>
  </si>
  <si>
    <t xml:space="preserve">Modified Equation at Q62 of "Antenna Gain" W/S.  Equation was "=21/(F55/1000)*H62" and now is "=21/((F55/1000)*H62)." TNX Ignacio Mas. </t>
  </si>
  <si>
    <t xml:space="preserve">      Slant Range to Spacecraft vs. Elevation Angle</t>
  </si>
  <si>
    <t>km.</t>
  </si>
  <si>
    <t>Mean Orbit Radius:</t>
  </si>
  <si>
    <t>Frequency:</t>
  </si>
  <si>
    <t>MHz</t>
  </si>
  <si>
    <t>meters</t>
  </si>
  <si>
    <t>Path Loss:</t>
  </si>
  <si>
    <t>dB</t>
  </si>
  <si>
    <t>Uplink:</t>
  </si>
  <si>
    <t>Downlink:</t>
  </si>
  <si>
    <r>
      <t>Path Loss = 22.0 + 20 log (S/</t>
    </r>
    <r>
      <rPr>
        <b/>
        <sz val="10"/>
        <rFont val="Symbol"/>
        <family val="1"/>
      </rPr>
      <t>l)</t>
    </r>
  </si>
  <si>
    <t>Sun Synchronous Inclination:</t>
  </si>
  <si>
    <t>Downlink Telemetry Budget:</t>
  </si>
  <si>
    <t>Units:</t>
  </si>
  <si>
    <t>Comments:</t>
  </si>
  <si>
    <t>Spacecraft:</t>
  </si>
  <si>
    <t>Antenna Gain:</t>
  </si>
  <si>
    <t>Spacecraft EIRP:</t>
  </si>
  <si>
    <t>Downlink Path:</t>
  </si>
  <si>
    <t>Atmospheric Losses:</t>
  </si>
  <si>
    <t>Ionospheric Losses:</t>
  </si>
  <si>
    <t>Rain Losses:</t>
  </si>
  <si>
    <t>Isotropic Signal Level at Ground Station:</t>
  </si>
  <si>
    <t>Ground Station:</t>
  </si>
  <si>
    <t>Ground Station Antenna Gain:</t>
  </si>
  <si>
    <t>Ground Station Effective Noise Temperature:</t>
  </si>
  <si>
    <t>Ground Station Figure of Merrit (G/T):</t>
  </si>
  <si>
    <t>G.S. Signal-to-Noise Power Density (S/No):</t>
  </si>
  <si>
    <t>System Desired Data Rate:</t>
  </si>
  <si>
    <t>Telemetry System Required Eb/No:</t>
  </si>
  <si>
    <t>System Link Margin:</t>
  </si>
  <si>
    <t>watts</t>
  </si>
  <si>
    <t>dBW</t>
  </si>
  <si>
    <t>dBm</t>
  </si>
  <si>
    <t>dBiC</t>
  </si>
  <si>
    <t>K</t>
  </si>
  <si>
    <t>dB/K</t>
  </si>
  <si>
    <t>In dBW:</t>
  </si>
  <si>
    <t>In dBm:</t>
  </si>
  <si>
    <t>Boltzman's Constant:</t>
  </si>
  <si>
    <t>dBW/K/Hz</t>
  </si>
  <si>
    <t>dBHz</t>
  </si>
  <si>
    <t>bps</t>
  </si>
  <si>
    <t>In dBHz:</t>
  </si>
  <si>
    <t>Ground Station Antenna Pointing Loss:</t>
  </si>
  <si>
    <t>Ground Station Alternative Signal Analysis Method (SNR Computation):</t>
  </si>
  <si>
    <t>Signal Power at Ground Station LNA Input:</t>
  </si>
  <si>
    <t>Hz</t>
  </si>
  <si>
    <t>G.S. Receiver Noise Power (Pn = kTB)</t>
  </si>
  <si>
    <t>Signal-to-Noise Power Ratio at G.S. Rcvr:</t>
  </si>
  <si>
    <t>Spacecraft Effective Isotropic Radiated Power (EIRP) [EIRP=Pt x Ltl x Ga]</t>
  </si>
  <si>
    <t>Uplink Command Budget:</t>
  </si>
  <si>
    <t>Uplink Path:</t>
  </si>
  <si>
    <t>Ground Station Effective Isotropic Radiated Power (EIRP) [EIRP=Pt x Ltl x Ga]</t>
  </si>
  <si>
    <t>Ground Station EIRP:</t>
  </si>
  <si>
    <t>Spacecraft Antenna Pointing Loss:</t>
  </si>
  <si>
    <t>Rain Loss:</t>
  </si>
  <si>
    <r>
      <t xml:space="preserve">Deloraine, E.M., Westman, H.P., Edie, L.C. </t>
    </r>
    <r>
      <rPr>
        <i/>
        <sz val="10"/>
        <rFont val="Arial"/>
        <family val="2"/>
      </rPr>
      <t>Reference Data for Radio Engineers, 3rd Edition</t>
    </r>
    <r>
      <rPr>
        <sz val="10"/>
        <rFont val="Arial"/>
        <family val="2"/>
      </rPr>
      <t>, Federal Telephone &amp; Radio Corp., 1949, pp. 362-396.</t>
    </r>
  </si>
  <si>
    <t>cable has a solid copper outer conductor (tube).  Some versions are silver plated.  This version has an exterior diameter of .086"</t>
  </si>
  <si>
    <t>cable has a solid copper outer conductor (tube).  Some versions are silver plated.  This version has an exterior diameter of 0.141"</t>
  </si>
  <si>
    <t>+</t>
  </si>
  <si>
    <t>Atmospheric Loss:</t>
  </si>
  <si>
    <t>Ionospheric Loss:</t>
  </si>
  <si>
    <t>Spacecraft Antenna Gain:</t>
  </si>
  <si>
    <t>Spacecraft Effective Noise Temperature:</t>
  </si>
  <si>
    <t>Spacecraft Figure of Merrit (G/T):</t>
  </si>
  <si>
    <t>S/C Signal-to-Noise Power Density (S/No):</t>
  </si>
  <si>
    <t>Spacecraft Alternative Signal Analysis Method (SNR Computation):</t>
  </si>
  <si>
    <t>Signal Power at Spacecraft LNA Input:</t>
  </si>
  <si>
    <t>Spacecraft Receiver Bandwidth:</t>
  </si>
  <si>
    <t>dM/dt:</t>
  </si>
  <si>
    <t xml:space="preserve"> Blue</t>
  </si>
  <si>
    <t>S/C Slot Longitude:</t>
  </si>
  <si>
    <t>Same as User #1 as both Users Employ the Same Spacecraft</t>
  </si>
  <si>
    <r>
      <t>NOTE:</t>
    </r>
    <r>
      <rPr>
        <sz val="10"/>
        <rFont val="Arial"/>
        <family val="2"/>
      </rPr>
      <t xml:space="preserve">  Cells Not Yet Protected</t>
    </r>
  </si>
  <si>
    <t>Spacecraft Transmitter Power Output:</t>
  </si>
  <si>
    <t>=Critical User Data Entry Values</t>
  </si>
  <si>
    <t>Element Reference Epoch:</t>
  </si>
  <si>
    <t>Com. System Engineer:</t>
  </si>
  <si>
    <t>Project Manager:</t>
  </si>
  <si>
    <t>Investigation:</t>
  </si>
  <si>
    <t xml:space="preserve">Model Under </t>
  </si>
  <si>
    <t>Last Modified:</t>
  </si>
  <si>
    <t>Project:</t>
  </si>
  <si>
    <r>
      <t>= Computed Values (</t>
    </r>
    <r>
      <rPr>
        <b/>
        <sz val="10"/>
        <rFont val="Arial"/>
        <family val="2"/>
      </rPr>
      <t>No</t>
    </r>
    <r>
      <rPr>
        <sz val="10"/>
        <rFont val="Arial"/>
        <family val="2"/>
      </rPr>
      <t xml:space="preserve"> </t>
    </r>
    <r>
      <rPr>
        <b/>
        <sz val="10"/>
        <rFont val="Arial"/>
        <family val="2"/>
      </rPr>
      <t>Data Entry</t>
    </r>
    <r>
      <rPr>
        <sz val="10"/>
        <rFont val="Arial"/>
        <family val="2"/>
      </rPr>
      <t>)</t>
    </r>
  </si>
  <si>
    <t xml:space="preserve">                                          ------- Eb/No Method -------</t>
  </si>
  <si>
    <r>
      <t xml:space="preserve">                               </t>
    </r>
    <r>
      <rPr>
        <b/>
        <i/>
        <sz val="10"/>
        <color indexed="10"/>
        <rFont val="Arial"/>
        <family val="2"/>
      </rPr>
      <t xml:space="preserve"> ---------- SNR Method ------------</t>
    </r>
  </si>
  <si>
    <t>Not Implemented</t>
  </si>
  <si>
    <t xml:space="preserve">Date W/S Formulas </t>
  </si>
  <si>
    <r>
      <t>Slant Range (</t>
    </r>
    <r>
      <rPr>
        <b/>
        <sz val="10"/>
        <rFont val="Arial"/>
        <family val="2"/>
      </rPr>
      <t>S</t>
    </r>
    <r>
      <rPr>
        <sz val="10"/>
        <rFont val="Arial"/>
        <family val="2"/>
      </rPr>
      <t>):</t>
    </r>
  </si>
  <si>
    <r>
      <t>Wavelength (</t>
    </r>
    <r>
      <rPr>
        <b/>
        <u/>
        <sz val="10"/>
        <rFont val="Symbol"/>
        <family val="1"/>
      </rPr>
      <t>l</t>
    </r>
    <r>
      <rPr>
        <u/>
        <sz val="10"/>
        <rFont val="Arial"/>
        <family val="2"/>
      </rPr>
      <t>):</t>
    </r>
  </si>
  <si>
    <t>Modulation Type:</t>
  </si>
  <si>
    <t>Option:</t>
  </si>
  <si>
    <t>Coding:</t>
  </si>
  <si>
    <t>Bit Error Rate Spec:</t>
  </si>
  <si>
    <t>Required Eb/No (dB):</t>
  </si>
  <si>
    <t>AFSK/FM</t>
  </si>
  <si>
    <t>None</t>
  </si>
  <si>
    <t>G3RUH FSK</t>
  </si>
  <si>
    <t>Non-Coherent FSK</t>
  </si>
  <si>
    <t>Coherent FSK</t>
  </si>
  <si>
    <t>BPSK</t>
  </si>
  <si>
    <t>QPSK</t>
  </si>
  <si>
    <t>Convolutional R=1/2, K=7</t>
  </si>
  <si>
    <t>Conv. R=1/2,K=7 &amp; R.S. (255,223)</t>
  </si>
  <si>
    <t>Conv. R=1/6,K=15 &amp; R.S. (255,223)</t>
  </si>
  <si>
    <t>Modulation, Coding &amp; BER Option:</t>
  </si>
  <si>
    <t>Implementation Loss Estimate:</t>
  </si>
  <si>
    <t>Select Here:</t>
  </si>
  <si>
    <t>Choice Made:</t>
  </si>
  <si>
    <t>[dB]</t>
  </si>
  <si>
    <t>[   ]</t>
  </si>
  <si>
    <t>[degrees]</t>
  </si>
  <si>
    <t>[Radians]</t>
  </si>
  <si>
    <t>Polarization Loss =</t>
  </si>
  <si>
    <t xml:space="preserve">Polarization Loss = </t>
  </si>
  <si>
    <t>Dish Boresight Aligned with +Z Axis</t>
  </si>
  <si>
    <t>[For S/C Hi Gain Option]</t>
  </si>
  <si>
    <t>[Isotropic Radiator]</t>
  </si>
  <si>
    <t>patch antenna</t>
  </si>
  <si>
    <t>parabolic reflector</t>
  </si>
  <si>
    <t>user defined</t>
  </si>
  <si>
    <t>Operator Selects Option 1 to 7 Here</t>
  </si>
  <si>
    <t>This value is transferred from "Antenna Pointing Losses" W/S, Cell [K63]</t>
  </si>
  <si>
    <t xml:space="preserve">         Elliptical</t>
  </si>
  <si>
    <t xml:space="preserve">           Linear</t>
  </si>
  <si>
    <t>Transmit Antenna</t>
  </si>
  <si>
    <t>Orbit Type Selected:</t>
  </si>
  <si>
    <r>
      <t>EARTH ANGULAR DIAMETER (</t>
    </r>
    <r>
      <rPr>
        <sz val="9"/>
        <rFont val="Symbol"/>
        <family val="1"/>
      </rPr>
      <t>g</t>
    </r>
    <r>
      <rPr>
        <sz val="9"/>
        <rFont val="Arial"/>
        <family val="2"/>
      </rPr>
      <t>):</t>
    </r>
  </si>
  <si>
    <r>
      <t>S/C POINTING VECTOR (</t>
    </r>
    <r>
      <rPr>
        <sz val="10"/>
        <rFont val="Symbol"/>
        <family val="1"/>
      </rPr>
      <t>a</t>
    </r>
    <r>
      <rPr>
        <sz val="10"/>
        <rFont val="Arial"/>
        <family val="2"/>
      </rPr>
      <t>):</t>
    </r>
  </si>
  <si>
    <t>S/C RCVR Eb/No</t>
  </si>
  <si>
    <t>Receive Antenna</t>
  </si>
  <si>
    <r>
      <t xml:space="preserve">    Axial Ratio = </t>
    </r>
    <r>
      <rPr>
        <sz val="14"/>
        <rFont val="Arial"/>
        <family val="2"/>
      </rPr>
      <t>∞</t>
    </r>
  </si>
  <si>
    <r>
      <t xml:space="preserve">      Axial Ratio = </t>
    </r>
    <r>
      <rPr>
        <sz val="14"/>
        <rFont val="Arial"/>
        <family val="2"/>
      </rPr>
      <t>∞</t>
    </r>
  </si>
  <si>
    <t xml:space="preserve">         Circular</t>
  </si>
  <si>
    <t>Power Emitted (or Received) with Antenna Aligned with Major Axis</t>
  </si>
  <si>
    <t>Power Emitted (or Received) with Antenna Aligned with Minor Axis</t>
  </si>
  <si>
    <t xml:space="preserve">         Axial Ratio  ≡ 10*LOG  </t>
  </si>
  <si>
    <t>Cross Pol. Power Fraction =</t>
  </si>
  <si>
    <t xml:space="preserve">Cross Polarization Isolation = </t>
  </si>
  <si>
    <t>A.R. #1:</t>
  </si>
  <si>
    <t>A.R. #2:</t>
  </si>
  <si>
    <t>Pol. Loss</t>
  </si>
  <si>
    <t>(dB)</t>
  </si>
  <si>
    <t>(degrees)</t>
  </si>
  <si>
    <t>Polarization Loss Equation:</t>
  </si>
  <si>
    <t xml:space="preserve">  </t>
  </si>
  <si>
    <t>Axial ratio (Ant. #1) =</t>
  </si>
  <si>
    <t>Axial ratio of Rx Antenna (Ant. #2) in dB =</t>
  </si>
  <si>
    <t>Axial ratio (Ant. #2) =</t>
  </si>
  <si>
    <t>Co-Polarization Loss:</t>
  </si>
  <si>
    <t xml:space="preserve">         Polarization Loss Calculation:</t>
  </si>
  <si>
    <t>Right Hand or Left Hand</t>
  </si>
  <si>
    <t>Vertical or Horizontal</t>
  </si>
  <si>
    <t xml:space="preserve">          Polarization Angle (θ) ≡</t>
  </si>
  <si>
    <t xml:space="preserve">    Angle between transmit and receive</t>
  </si>
  <si>
    <t>Cross Polarization Coupling/Isolation:</t>
  </si>
  <si>
    <t>Example Calculations:</t>
  </si>
  <si>
    <t>Tx Ant.</t>
  </si>
  <si>
    <t>Rx Ant.</t>
  </si>
  <si>
    <t>θ</t>
  </si>
  <si>
    <t>Tx &amp; Rx Elliptical:</t>
  </si>
  <si>
    <t>represented by an Axial Ratio value of 30 dB.</t>
  </si>
  <si>
    <t xml:space="preserve">NOTE:  A linearly polarized antenna may be </t>
  </si>
  <si>
    <t>Tx &amp; Rx Linear:</t>
  </si>
  <si>
    <t>Rx Variable:</t>
  </si>
  <si>
    <t>Tx Circular,</t>
  </si>
  <si>
    <t>Tx Elliptical,</t>
  </si>
  <si>
    <t>Rx Linear</t>
  </si>
  <si>
    <t>NOTE:  This is a typical small satellite case.</t>
  </si>
  <si>
    <t>2.5.1</t>
  </si>
  <si>
    <t>2.5.2</t>
  </si>
  <si>
    <t>Repaird Bugs in User #2, Delta Longitude, Range, Azimuth and Earth Central Angle; Thank to Michelle Denise, W5NYV</t>
  </si>
  <si>
    <t>Repaired Import of Frequency Values to "Transmitters" and "Receivers" Worksheets; Thanks to Michelle Denise, W5NYV</t>
  </si>
  <si>
    <t>2.5.3</t>
  </si>
  <si>
    <t>In "Atmos. &amp; Ionos. Losses" W/S; temporarily made Atmos. Loss dependent on Manually Set Elevation Angle.  This needs more work.</t>
  </si>
  <si>
    <t>Dish Diameter in Wavelengths:</t>
  </si>
  <si>
    <t>2.5.4</t>
  </si>
  <si>
    <t>m</t>
  </si>
  <si>
    <t>λ</t>
  </si>
  <si>
    <t xml:space="preserve">   S/C Angle w.r.t.Symmetry Axis (θ)°:</t>
  </si>
  <si>
    <t>Dish Size?</t>
  </si>
  <si>
    <t>Revised Beam Roll-off Tool Tab to Include Dish Diameter in Wavelengths and Test for 10 wavelength condition.</t>
  </si>
  <si>
    <t xml:space="preserve"> Version: 2.5.5</t>
  </si>
  <si>
    <r>
      <t>S/C Angle</t>
    </r>
    <r>
      <rPr>
        <sz val="10"/>
        <rFont val="Arial"/>
        <family val="2"/>
      </rPr>
      <t xml:space="preserve"> wrt Symmetry Axis (</t>
    </r>
    <r>
      <rPr>
        <sz val="10"/>
        <rFont val="Arial"/>
        <family val="2"/>
      </rPr>
      <t>θ)°</t>
    </r>
    <r>
      <rPr>
        <sz val="10"/>
        <rFont val="Arial"/>
        <family val="2"/>
      </rPr>
      <t>:</t>
    </r>
  </si>
  <si>
    <t>2.5.5</t>
  </si>
  <si>
    <r>
      <t>Developed by:  Jan A. King, W3GEY/VK4GEY         With Editorial Assistance and Support from Ralph Wallio, W</t>
    </r>
    <r>
      <rPr>
        <b/>
        <sz val="10"/>
        <rFont val="Arial"/>
        <family val="2"/>
      </rPr>
      <t>Ф</t>
    </r>
    <r>
      <rPr>
        <b/>
        <sz val="10"/>
        <rFont val="Arial"/>
        <family val="2"/>
      </rPr>
      <t>RPK; Ignacio Mas; Lou McFadin, W5DID; Jeff Capehart, W4UFL; Michelle Denise, W5NYV, Kelby Davis, AD7VO</t>
    </r>
  </si>
  <si>
    <t>Revised Antenna Polarization Loss (R = 10^(AR/20); Antenna Pointling Loss, Downlink, Ground Station Table:  Antenna Gains Corrected; TNX to Kelby Davis, AD7VO</t>
  </si>
  <si>
    <t>LEO -- ELaNa Determined *ISS Deploy* CubeSat Satellite</t>
  </si>
  <si>
    <t>Andrew Greenberg, KD7CJT</t>
  </si>
  <si>
    <t>Glenn LeBrasseur, KJ7SU / Vigely Mastrogiannis, KJ7AOG</t>
  </si>
  <si>
    <t>2U CubeSat Satellite</t>
  </si>
  <si>
    <t>OreSat - CS0</t>
  </si>
  <si>
    <t>Portland State University</t>
  </si>
  <si>
    <t>Crossed Yagi</t>
  </si>
  <si>
    <t>M2inc 436CP30</t>
  </si>
  <si>
    <t>http://www.m2inc.com/FG436CP30</t>
  </si>
  <si>
    <t>Cable/W. Guide Type (loss/m):</t>
  </si>
  <si>
    <t>Cable A Spec:</t>
  </si>
  <si>
    <t>Cable B Spec:</t>
  </si>
  <si>
    <t>Cable C Spec:</t>
  </si>
  <si>
    <t>Total Line Loss (Line A+B+C):</t>
  </si>
  <si>
    <t>RG-142</t>
  </si>
  <si>
    <t>Cable/Guide Type (loss/m):</t>
  </si>
  <si>
    <t>Dir. Coupler</t>
  </si>
  <si>
    <t>Switch</t>
  </si>
  <si>
    <t>FSJ4-50B</t>
  </si>
  <si>
    <t>Connectors  X  0.05 dB/con.  =</t>
  </si>
  <si>
    <t>at freq.</t>
  </si>
  <si>
    <t>Note: Mods. by KJ7AOG</t>
  </si>
  <si>
    <t>#</t>
  </si>
  <si>
    <t>Device</t>
  </si>
  <si>
    <t>Gain/Loss (dB)</t>
  </si>
  <si>
    <t>Noise Fig. (dB)</t>
  </si>
  <si>
    <t>G (gain factor)</t>
  </si>
  <si>
    <t>F (noise factor)</t>
  </si>
  <si>
    <t>Gain Products</t>
  </si>
  <si>
    <t>Temp (K)</t>
  </si>
  <si>
    <t>Temp / Gain_Prod (K)</t>
  </si>
  <si>
    <t>(F - 1) / Gain_Prod</t>
  </si>
  <si>
    <t>F (totals)</t>
  </si>
  <si>
    <t xml:space="preserve">Total (K):  </t>
  </si>
  <si>
    <t>PolyPhaser</t>
  </si>
  <si>
    <t>Line + conn.</t>
  </si>
  <si>
    <t>Lime SDR</t>
  </si>
  <si>
    <t>Noise Temperature Calculator (after first LNA - see block diagram for more details)</t>
  </si>
  <si>
    <t>Qorvo TQP3M9036</t>
  </si>
  <si>
    <t>Transceiver - AX5043</t>
  </si>
  <si>
    <t>MiniCirc BPF-C450+</t>
  </si>
  <si>
    <t>Qorvo QPC1022</t>
  </si>
  <si>
    <t>SAW - Mur. SF2446E</t>
  </si>
  <si>
    <t>Conn.</t>
  </si>
  <si>
    <t>BPF - ZABP-450-S+</t>
  </si>
  <si>
    <t>MSP432VDG-160</t>
  </si>
  <si>
    <t>LNA (passthrough)</t>
  </si>
  <si>
    <t>Transmitter Power (PA out):</t>
  </si>
  <si>
    <t>Dowkey 401-4208</t>
  </si>
  <si>
    <t>MSK</t>
  </si>
  <si>
    <t>GMSK w/ BT=0.3</t>
  </si>
  <si>
    <t>Line D Length:</t>
  </si>
  <si>
    <t>Cable D Spec:</t>
  </si>
  <si>
    <t>Total Line Length (Line A+B+C+D):</t>
  </si>
  <si>
    <t>Total Line Loss (Line A+B+C+D):</t>
  </si>
  <si>
    <t>Block Diagram (GitHub link - click for details):</t>
  </si>
  <si>
    <t>Microstrip (2-layer)</t>
  </si>
  <si>
    <r>
      <t>System Noise Temperature (T</t>
    </r>
    <r>
      <rPr>
        <sz val="8"/>
        <rFont val="Arial"/>
        <family val="2"/>
      </rPr>
      <t>s</t>
    </r>
    <r>
      <rPr>
        <sz val="10"/>
        <rFont val="Arial"/>
        <family val="2"/>
      </rPr>
      <t>):</t>
    </r>
  </si>
  <si>
    <r>
      <t>T</t>
    </r>
    <r>
      <rPr>
        <b/>
        <sz val="8"/>
        <rFont val="Arial"/>
        <family val="2"/>
      </rPr>
      <t>s</t>
    </r>
    <r>
      <rPr>
        <b/>
        <sz val="10"/>
        <rFont val="Arial"/>
        <family val="2"/>
      </rPr>
      <t>= (</t>
    </r>
    <r>
      <rPr>
        <b/>
        <sz val="10"/>
        <rFont val="Symbol"/>
        <family val="1"/>
      </rPr>
      <t>a</t>
    </r>
    <r>
      <rPr>
        <b/>
        <sz val="10"/>
        <rFont val="Arial"/>
        <family val="2"/>
      </rPr>
      <t>)T</t>
    </r>
    <r>
      <rPr>
        <b/>
        <sz val="8"/>
        <rFont val="Arial"/>
        <family val="2"/>
      </rPr>
      <t>a</t>
    </r>
    <r>
      <rPr>
        <b/>
        <sz val="10"/>
        <rFont val="Arial"/>
        <family val="2"/>
      </rPr>
      <t xml:space="preserve"> + (1-</t>
    </r>
    <r>
      <rPr>
        <b/>
        <sz val="10"/>
        <rFont val="Symbol"/>
        <family val="1"/>
      </rPr>
      <t>a</t>
    </r>
    <r>
      <rPr>
        <b/>
        <sz val="10"/>
        <rFont val="Arial"/>
        <family val="2"/>
      </rPr>
      <t>)T</t>
    </r>
    <r>
      <rPr>
        <b/>
        <sz val="8"/>
        <rFont val="Arial"/>
        <family val="2"/>
      </rPr>
      <t xml:space="preserve">o + </t>
    </r>
    <r>
      <rPr>
        <b/>
        <sz val="10"/>
        <rFont val="Arial"/>
        <family val="2"/>
      </rPr>
      <t>T</t>
    </r>
    <r>
      <rPr>
        <b/>
        <sz val="8"/>
        <rFont val="Arial"/>
        <family val="2"/>
      </rPr>
      <t>LNA +</t>
    </r>
    <r>
      <rPr>
        <b/>
        <sz val="10"/>
        <rFont val="Arial"/>
        <family val="2"/>
      </rPr>
      <t xml:space="preserve"> T</t>
    </r>
    <r>
      <rPr>
        <b/>
        <sz val="8"/>
        <rFont val="Arial"/>
        <family val="2"/>
      </rPr>
      <t>ComRcvr</t>
    </r>
    <r>
      <rPr>
        <b/>
        <sz val="10"/>
        <rFont val="Arial"/>
        <family val="2"/>
      </rPr>
      <t>/G</t>
    </r>
    <r>
      <rPr>
        <b/>
        <sz val="8"/>
        <rFont val="Arial"/>
        <family val="2"/>
      </rPr>
      <t>LNA</t>
    </r>
  </si>
  <si>
    <r>
      <t>T</t>
    </r>
    <r>
      <rPr>
        <sz val="8"/>
        <rFont val="Arial"/>
        <family val="2"/>
      </rPr>
      <t>a</t>
    </r>
    <r>
      <rPr>
        <sz val="10"/>
        <rFont val="Arial"/>
        <family val="2"/>
      </rPr>
      <t xml:space="preserve"> =</t>
    </r>
    <r>
      <rPr>
        <sz val="10"/>
        <rFont val="Arial"/>
        <family val="2"/>
      </rPr>
      <t xml:space="preserve"> Antenna Temperature or Sky Temperature (</t>
    </r>
    <r>
      <rPr>
        <sz val="10"/>
        <rFont val="Arial"/>
        <family val="2"/>
      </rPr>
      <t>°K)</t>
    </r>
  </si>
  <si>
    <r>
      <t>T</t>
    </r>
    <r>
      <rPr>
        <sz val="8"/>
        <rFont val="Arial"/>
        <family val="2"/>
      </rPr>
      <t>o</t>
    </r>
    <r>
      <rPr>
        <sz val="10"/>
        <rFont val="Arial"/>
        <family val="2"/>
      </rPr>
      <t xml:space="preserve"> = System Line Temperature (Physical Temperature) (</t>
    </r>
    <r>
      <rPr>
        <sz val="10"/>
        <rFont val="Arial"/>
        <family val="2"/>
      </rPr>
      <t xml:space="preserve">°K) </t>
    </r>
    <r>
      <rPr>
        <sz val="10"/>
        <rFont val="Symbol"/>
        <family val="1"/>
      </rPr>
      <t>º</t>
    </r>
    <r>
      <rPr>
        <sz val="10"/>
        <rFont val="Arial"/>
        <family val="2"/>
      </rPr>
      <t xml:space="preserve"> System Reference Temperature</t>
    </r>
  </si>
  <si>
    <r>
      <t>T</t>
    </r>
    <r>
      <rPr>
        <sz val="8"/>
        <rFont val="Arial"/>
        <family val="2"/>
      </rPr>
      <t>LNA</t>
    </r>
    <r>
      <rPr>
        <sz val="8"/>
        <rFont val="Arial"/>
        <family val="2"/>
      </rPr>
      <t>=</t>
    </r>
    <r>
      <rPr>
        <sz val="10"/>
        <rFont val="Arial"/>
        <family val="2"/>
      </rPr>
      <t xml:space="preserve"> Noise Temperature of the Low Noise Amplifier (</t>
    </r>
    <r>
      <rPr>
        <sz val="10"/>
        <rFont val="Arial"/>
        <family val="2"/>
      </rPr>
      <t>°K)</t>
    </r>
  </si>
  <si>
    <r>
      <t>T</t>
    </r>
    <r>
      <rPr>
        <sz val="8"/>
        <rFont val="Arial"/>
        <family val="2"/>
      </rPr>
      <t>ComRcvr</t>
    </r>
    <r>
      <rPr>
        <sz val="10"/>
        <rFont val="Arial"/>
        <family val="2"/>
      </rPr>
      <t xml:space="preserve"> =  Noise Temperature of Communications Receiver Front End (</t>
    </r>
    <r>
      <rPr>
        <sz val="10"/>
        <rFont val="Arial"/>
        <family val="2"/>
      </rPr>
      <t>°K)</t>
    </r>
  </si>
  <si>
    <r>
      <t>G</t>
    </r>
    <r>
      <rPr>
        <sz val="8"/>
        <rFont val="Arial"/>
        <family val="2"/>
      </rPr>
      <t>LNA</t>
    </r>
    <r>
      <rPr>
        <sz val="10"/>
        <rFont val="Arial"/>
        <family val="2"/>
      </rPr>
      <t xml:space="preserve"> = The gain of the LNA in linear (non-dB) units</t>
    </r>
  </si>
  <si>
    <r>
      <t>a</t>
    </r>
    <r>
      <rPr>
        <sz val="10"/>
        <rFont val="Arial"/>
        <family val="2"/>
      </rPr>
      <t xml:space="preserve"> </t>
    </r>
    <r>
      <rPr>
        <sz val="10"/>
        <rFont val="Arial"/>
        <family val="2"/>
      </rPr>
      <t>=</t>
    </r>
    <r>
      <rPr>
        <sz val="10"/>
        <rFont val="Symbol"/>
        <family val="1"/>
      </rPr>
      <t xml:space="preserve"> </t>
    </r>
    <r>
      <rPr>
        <sz val="10"/>
        <rFont val="Arial"/>
        <family val="2"/>
      </rPr>
      <t xml:space="preserve">Feed Line Coefficient = </t>
    </r>
    <r>
      <rPr>
        <sz val="10"/>
        <rFont val="Arial"/>
        <family val="2"/>
      </rPr>
      <t xml:space="preserve"> 10^ -((L</t>
    </r>
    <r>
      <rPr>
        <sz val="8"/>
        <rFont val="Arial"/>
        <family val="2"/>
      </rPr>
      <t>A</t>
    </r>
    <r>
      <rPr>
        <sz val="10"/>
        <rFont val="Arial"/>
        <family val="2"/>
      </rPr>
      <t>/10)+(L</t>
    </r>
    <r>
      <rPr>
        <sz val="8"/>
        <rFont val="Arial"/>
        <family val="2"/>
      </rPr>
      <t>B</t>
    </r>
    <r>
      <rPr>
        <sz val="10"/>
        <rFont val="Arial"/>
        <family val="2"/>
      </rPr>
      <t>/10)+(L</t>
    </r>
    <r>
      <rPr>
        <sz val="8"/>
        <rFont val="Arial"/>
        <family val="2"/>
      </rPr>
      <t>C</t>
    </r>
    <r>
      <rPr>
        <sz val="10"/>
        <rFont val="Arial"/>
        <family val="2"/>
      </rPr>
      <t>/10)+(L</t>
    </r>
    <r>
      <rPr>
        <sz val="8"/>
        <rFont val="Arial"/>
        <family val="2"/>
      </rPr>
      <t>BPF</t>
    </r>
    <r>
      <rPr>
        <sz val="10"/>
        <rFont val="Arial"/>
        <family val="2"/>
      </rPr>
      <t>/10)+(L</t>
    </r>
    <r>
      <rPr>
        <sz val="8"/>
        <rFont val="Arial"/>
        <family val="2"/>
      </rPr>
      <t>other</t>
    </r>
    <r>
      <rPr>
        <sz val="10"/>
        <rFont val="Arial"/>
        <family val="2"/>
      </rPr>
      <t>/10))</t>
    </r>
  </si>
  <si>
    <r>
      <t>L</t>
    </r>
    <r>
      <rPr>
        <sz val="8"/>
        <rFont val="Arial"/>
        <family val="2"/>
      </rPr>
      <t>A</t>
    </r>
    <r>
      <rPr>
        <sz val="10"/>
        <rFont val="Arial"/>
        <family val="2"/>
      </rPr>
      <t>, L</t>
    </r>
    <r>
      <rPr>
        <sz val="8"/>
        <rFont val="Arial"/>
        <family val="2"/>
      </rPr>
      <t>B</t>
    </r>
    <r>
      <rPr>
        <sz val="10"/>
        <rFont val="Arial"/>
        <family val="2"/>
      </rPr>
      <t>, L</t>
    </r>
    <r>
      <rPr>
        <sz val="8"/>
        <rFont val="Arial"/>
        <family val="2"/>
      </rPr>
      <t>C</t>
    </r>
    <r>
      <rPr>
        <sz val="10"/>
        <rFont val="Arial"/>
        <family val="2"/>
      </rPr>
      <t xml:space="preserve"> = All Cable or Waveguide Losses (expressed in dB)</t>
    </r>
  </si>
  <si>
    <r>
      <t>L</t>
    </r>
    <r>
      <rPr>
        <sz val="8"/>
        <rFont val="Arial"/>
        <family val="2"/>
      </rPr>
      <t>BPF</t>
    </r>
    <r>
      <rPr>
        <sz val="10"/>
        <rFont val="Arial"/>
        <family val="2"/>
      </rPr>
      <t xml:space="preserve"> = Insertion Loss of any bandpass fiter used in front of LNA (expressed in dB)</t>
    </r>
  </si>
  <si>
    <r>
      <t>L</t>
    </r>
    <r>
      <rPr>
        <sz val="8"/>
        <rFont val="Arial"/>
        <family val="2"/>
      </rPr>
      <t>other</t>
    </r>
    <r>
      <rPr>
        <sz val="10"/>
        <rFont val="Arial"/>
        <family val="2"/>
      </rPr>
      <t xml:space="preserve"> = Insertion Loss of any other In-Line device in front of LNA (expressed in dB)</t>
    </r>
  </si>
  <si>
    <r>
      <t>T</t>
    </r>
    <r>
      <rPr>
        <sz val="8"/>
        <rFont val="Arial"/>
        <family val="2"/>
      </rPr>
      <t>ComRcvr</t>
    </r>
    <r>
      <rPr>
        <sz val="10"/>
        <rFont val="Arial"/>
        <family val="2"/>
      </rPr>
      <t xml:space="preserve"> =</t>
    </r>
  </si>
  <si>
    <r>
      <t>NF</t>
    </r>
    <r>
      <rPr>
        <sz val="8"/>
        <rFont val="Arial"/>
        <family val="2"/>
      </rPr>
      <t>dB</t>
    </r>
    <r>
      <rPr>
        <sz val="10"/>
        <rFont val="Arial"/>
        <family val="2"/>
      </rPr>
      <t xml:space="preserve"> = 10 LOG</t>
    </r>
    <r>
      <rPr>
        <sz val="8"/>
        <rFont val="Arial"/>
        <family val="2"/>
      </rPr>
      <t>10</t>
    </r>
    <r>
      <rPr>
        <sz val="10"/>
        <rFont val="Arial"/>
        <family val="2"/>
      </rPr>
      <t>[1+(T</t>
    </r>
    <r>
      <rPr>
        <sz val="10"/>
        <rFont val="Arial"/>
        <family val="2"/>
      </rPr>
      <t>/T</t>
    </r>
    <r>
      <rPr>
        <sz val="8"/>
        <rFont val="Arial"/>
        <family val="2"/>
      </rPr>
      <t>o</t>
    </r>
    <r>
      <rPr>
        <sz val="10"/>
        <rFont val="Arial"/>
        <family val="2"/>
      </rPr>
      <t xml:space="preserve">)] </t>
    </r>
  </si>
  <si>
    <r>
      <t>T</t>
    </r>
    <r>
      <rPr>
        <sz val="10"/>
        <rFont val="Arial"/>
        <family val="2"/>
      </rPr>
      <t xml:space="preserve"> = T</t>
    </r>
    <r>
      <rPr>
        <sz val="8"/>
        <rFont val="Arial"/>
        <family val="2"/>
      </rPr>
      <t>o</t>
    </r>
    <r>
      <rPr>
        <sz val="10"/>
        <rFont val="Arial"/>
        <family val="2"/>
      </rPr>
      <t>[10^(NF</t>
    </r>
    <r>
      <rPr>
        <sz val="8"/>
        <rFont val="Arial"/>
        <family val="2"/>
      </rPr>
      <t>dB</t>
    </r>
    <r>
      <rPr>
        <sz val="10"/>
        <rFont val="Arial"/>
        <family val="2"/>
      </rPr>
      <t>/10)-1]</t>
    </r>
  </si>
  <si>
    <r>
      <t>T</t>
    </r>
    <r>
      <rPr>
        <sz val="8"/>
        <rFont val="Arial"/>
        <family val="2"/>
      </rPr>
      <t>o</t>
    </r>
    <r>
      <rPr>
        <sz val="10"/>
        <rFont val="Arial"/>
        <family val="2"/>
      </rPr>
      <t xml:space="preserve"> =</t>
    </r>
  </si>
  <si>
    <r>
      <t>NF</t>
    </r>
    <r>
      <rPr>
        <sz val="8"/>
        <rFont val="Arial"/>
        <family val="2"/>
      </rPr>
      <t xml:space="preserve">dB </t>
    </r>
    <r>
      <rPr>
        <sz val="10"/>
        <rFont val="Arial"/>
        <family val="2"/>
      </rPr>
      <t>=</t>
    </r>
  </si>
  <si>
    <r>
      <t>NF</t>
    </r>
    <r>
      <rPr>
        <sz val="8"/>
        <rFont val="Arial"/>
        <family val="2"/>
      </rPr>
      <t xml:space="preserve">dB  </t>
    </r>
    <r>
      <rPr>
        <sz val="10"/>
        <rFont val="Arial"/>
        <family val="2"/>
      </rPr>
      <t>=</t>
    </r>
  </si>
  <si>
    <r>
      <t>T</t>
    </r>
    <r>
      <rPr>
        <sz val="8"/>
        <rFont val="Arial"/>
        <family val="2"/>
      </rPr>
      <t>a</t>
    </r>
    <r>
      <rPr>
        <sz val="10"/>
        <rFont val="Arial"/>
        <family val="2"/>
      </rPr>
      <t xml:space="preserve"> =</t>
    </r>
    <r>
      <rPr>
        <sz val="10"/>
        <rFont val="Arial"/>
        <family val="2"/>
      </rPr>
      <t>Antenna Temperature or Sky Temperature (</t>
    </r>
    <r>
      <rPr>
        <sz val="10"/>
        <rFont val="Arial"/>
        <family val="2"/>
      </rPr>
      <t>°K)</t>
    </r>
  </si>
  <si>
    <r>
      <t>a</t>
    </r>
    <r>
      <rPr>
        <sz val="10"/>
        <rFont val="Arial"/>
        <family val="2"/>
      </rPr>
      <t xml:space="preserve"> </t>
    </r>
    <r>
      <rPr>
        <sz val="10"/>
        <rFont val="Symbol"/>
        <family val="1"/>
      </rPr>
      <t xml:space="preserve">º </t>
    </r>
    <r>
      <rPr>
        <sz val="10"/>
        <rFont val="Arial"/>
        <family val="2"/>
      </rPr>
      <t xml:space="preserve">Feed Line Coefficient = </t>
    </r>
    <r>
      <rPr>
        <sz val="10"/>
        <rFont val="Arial"/>
        <family val="2"/>
      </rPr>
      <t xml:space="preserve"> 10^ -((L</t>
    </r>
    <r>
      <rPr>
        <sz val="8"/>
        <rFont val="Arial"/>
        <family val="2"/>
      </rPr>
      <t>A</t>
    </r>
    <r>
      <rPr>
        <sz val="10"/>
        <rFont val="Arial"/>
        <family val="2"/>
      </rPr>
      <t>/10)+(L</t>
    </r>
    <r>
      <rPr>
        <sz val="8"/>
        <rFont val="Arial"/>
        <family val="2"/>
      </rPr>
      <t>B</t>
    </r>
    <r>
      <rPr>
        <sz val="10"/>
        <rFont val="Arial"/>
        <family val="2"/>
      </rPr>
      <t>/10)+(L</t>
    </r>
    <r>
      <rPr>
        <sz val="8"/>
        <rFont val="Arial"/>
        <family val="2"/>
      </rPr>
      <t>C</t>
    </r>
    <r>
      <rPr>
        <sz val="10"/>
        <rFont val="Arial"/>
        <family val="2"/>
      </rPr>
      <t>/10)+(L</t>
    </r>
    <r>
      <rPr>
        <sz val="8"/>
        <rFont val="Arial"/>
        <family val="2"/>
      </rPr>
      <t>BPF</t>
    </r>
    <r>
      <rPr>
        <sz val="10"/>
        <rFont val="Arial"/>
        <family val="2"/>
      </rPr>
      <t>/10)+(L</t>
    </r>
    <r>
      <rPr>
        <sz val="8"/>
        <rFont val="Arial"/>
        <family val="2"/>
      </rPr>
      <t>other</t>
    </r>
    <r>
      <rPr>
        <sz val="10"/>
        <rFont val="Arial"/>
        <family val="2"/>
      </rPr>
      <t>/10))</t>
    </r>
  </si>
  <si>
    <r>
      <t>L</t>
    </r>
    <r>
      <rPr>
        <sz val="8"/>
        <rFont val="Arial"/>
        <family val="2"/>
      </rPr>
      <t>A</t>
    </r>
    <r>
      <rPr>
        <sz val="10"/>
        <rFont val="Arial"/>
        <family val="2"/>
      </rPr>
      <t xml:space="preserve"> = </t>
    </r>
  </si>
  <si>
    <r>
      <t>L</t>
    </r>
    <r>
      <rPr>
        <sz val="8"/>
        <rFont val="Arial"/>
        <family val="2"/>
      </rPr>
      <t>B</t>
    </r>
    <r>
      <rPr>
        <sz val="10"/>
        <rFont val="Arial"/>
        <family val="2"/>
      </rPr>
      <t xml:space="preserve"> = </t>
    </r>
  </si>
  <si>
    <r>
      <t>L</t>
    </r>
    <r>
      <rPr>
        <sz val="8"/>
        <rFont val="Arial"/>
        <family val="2"/>
      </rPr>
      <t>C</t>
    </r>
    <r>
      <rPr>
        <sz val="10"/>
        <rFont val="Arial"/>
        <family val="2"/>
      </rPr>
      <t xml:space="preserve"> = </t>
    </r>
  </si>
  <si>
    <r>
      <t>L</t>
    </r>
    <r>
      <rPr>
        <sz val="8"/>
        <rFont val="Arial"/>
        <family val="2"/>
      </rPr>
      <t>BPF</t>
    </r>
    <r>
      <rPr>
        <sz val="10"/>
        <rFont val="Arial"/>
        <family val="2"/>
      </rPr>
      <t xml:space="preserve"> =</t>
    </r>
  </si>
  <si>
    <r>
      <t>L</t>
    </r>
    <r>
      <rPr>
        <sz val="8"/>
        <rFont val="Arial"/>
        <family val="2"/>
      </rPr>
      <t>other</t>
    </r>
    <r>
      <rPr>
        <sz val="10"/>
        <rFont val="Arial"/>
        <family val="2"/>
      </rPr>
      <t xml:space="preserve"> = </t>
    </r>
  </si>
  <si>
    <r>
      <t>a</t>
    </r>
    <r>
      <rPr>
        <sz val="10"/>
        <rFont val="Arial"/>
        <family val="2"/>
      </rPr>
      <t xml:space="preserve"> = </t>
    </r>
  </si>
  <si>
    <r>
      <t>T</t>
    </r>
    <r>
      <rPr>
        <sz val="8"/>
        <rFont val="Arial"/>
        <family val="2"/>
      </rPr>
      <t>a</t>
    </r>
    <r>
      <rPr>
        <sz val="10"/>
        <rFont val="Arial"/>
        <family val="2"/>
      </rPr>
      <t xml:space="preserve"> =</t>
    </r>
  </si>
  <si>
    <r>
      <t>T</t>
    </r>
    <r>
      <rPr>
        <sz val="8"/>
        <rFont val="Arial"/>
        <family val="2"/>
      </rPr>
      <t>LNA</t>
    </r>
    <r>
      <rPr>
        <sz val="10"/>
        <rFont val="Arial"/>
        <family val="2"/>
      </rPr>
      <t xml:space="preserve"> =</t>
    </r>
  </si>
  <si>
    <r>
      <t>G</t>
    </r>
    <r>
      <rPr>
        <sz val="8"/>
        <rFont val="Arial"/>
        <family val="2"/>
      </rPr>
      <t>LNA</t>
    </r>
    <r>
      <rPr>
        <sz val="10"/>
        <rFont val="Arial"/>
        <family val="2"/>
      </rPr>
      <t xml:space="preserve"> =</t>
    </r>
  </si>
  <si>
    <t>dB/m @ 450 MHz</t>
  </si>
  <si>
    <r>
      <t>T</t>
    </r>
    <r>
      <rPr>
        <sz val="8"/>
        <rFont val="Arial"/>
        <family val="2"/>
      </rPr>
      <t>s</t>
    </r>
    <r>
      <rPr>
        <sz val="10"/>
        <rFont val="Arial"/>
        <family val="2"/>
      </rPr>
      <t xml:space="preserve"> =</t>
    </r>
  </si>
  <si>
    <t>PDX_CS0_v1</t>
  </si>
  <si>
    <t>COMMAND</t>
  </si>
  <si>
    <t>TELEMETRY</t>
  </si>
  <si>
    <t>UPLINK SYSTEM:</t>
  </si>
  <si>
    <t>R =</t>
  </si>
  <si>
    <t>Modulation Method:</t>
  </si>
  <si>
    <t>S/N =</t>
  </si>
  <si>
    <t>F.E.C. Encoder Type:</t>
  </si>
  <si>
    <t>F.E.C. Decoder Type:</t>
  </si>
  <si>
    <t>Demodulator Type:</t>
  </si>
  <si>
    <r>
      <t>L</t>
    </r>
    <r>
      <rPr>
        <vertAlign val="subscript"/>
        <sz val="10"/>
        <rFont val="Arial"/>
        <family val="2"/>
      </rPr>
      <t>VSWR</t>
    </r>
    <r>
      <rPr>
        <sz val="10"/>
        <rFont val="Arial"/>
        <family val="2"/>
      </rPr>
      <t xml:space="preserve"> =</t>
    </r>
  </si>
  <si>
    <r>
      <t>P</t>
    </r>
    <r>
      <rPr>
        <vertAlign val="subscript"/>
        <sz val="10"/>
        <rFont val="Arial"/>
        <family val="2"/>
      </rPr>
      <t>Antenna</t>
    </r>
    <r>
      <rPr>
        <sz val="10"/>
        <rFont val="Arial"/>
        <family val="2"/>
      </rPr>
      <t xml:space="preserve"> =</t>
    </r>
  </si>
  <si>
    <t>Total Link Losses:</t>
  </si>
  <si>
    <t>2019 May 6</t>
  </si>
  <si>
    <r>
      <t>E</t>
    </r>
    <r>
      <rPr>
        <sz val="8"/>
        <rFont val="Arial"/>
        <family val="2"/>
      </rPr>
      <t>b</t>
    </r>
    <r>
      <rPr>
        <sz val="10"/>
        <rFont val="Arial"/>
        <family val="2"/>
      </rPr>
      <t>/No Method:</t>
    </r>
  </si>
  <si>
    <r>
      <t>E</t>
    </r>
    <r>
      <rPr>
        <sz val="8"/>
        <rFont val="Arial"/>
        <family val="2"/>
      </rPr>
      <t>b</t>
    </r>
    <r>
      <rPr>
        <sz val="10"/>
        <rFont val="Arial"/>
        <family val="2"/>
      </rPr>
      <t>/N</t>
    </r>
    <r>
      <rPr>
        <sz val="8"/>
        <rFont val="Arial"/>
        <family val="2"/>
      </rPr>
      <t>o</t>
    </r>
    <r>
      <rPr>
        <sz val="10"/>
        <rFont val="Arial"/>
        <family val="2"/>
      </rPr>
      <t xml:space="preserve"> = </t>
    </r>
  </si>
  <si>
    <r>
      <t>h</t>
    </r>
    <r>
      <rPr>
        <sz val="8"/>
        <rFont val="Arial"/>
        <family val="2"/>
      </rPr>
      <t>Tx</t>
    </r>
    <r>
      <rPr>
        <sz val="10"/>
        <rFont val="Arial"/>
        <family val="2"/>
      </rPr>
      <t xml:space="preserve"> Goal =</t>
    </r>
  </si>
  <si>
    <r>
      <t>L</t>
    </r>
    <r>
      <rPr>
        <sz val="8"/>
        <rFont val="Arial"/>
        <family val="2"/>
      </rPr>
      <t>TLine</t>
    </r>
    <r>
      <rPr>
        <sz val="10"/>
        <rFont val="Arial"/>
        <family val="2"/>
      </rPr>
      <t xml:space="preserve"> =</t>
    </r>
  </si>
  <si>
    <r>
      <t>B</t>
    </r>
    <r>
      <rPr>
        <sz val="8"/>
        <rFont val="Arial"/>
        <family val="2"/>
      </rPr>
      <t>Rbpf</t>
    </r>
    <r>
      <rPr>
        <sz val="10"/>
        <rFont val="Arial"/>
        <family val="2"/>
      </rPr>
      <t xml:space="preserve"> = </t>
    </r>
  </si>
  <si>
    <r>
      <t>L</t>
    </r>
    <r>
      <rPr>
        <sz val="8"/>
        <rFont val="Arial"/>
        <family val="2"/>
      </rPr>
      <t>Tconn.</t>
    </r>
    <r>
      <rPr>
        <sz val="10"/>
        <rFont val="Arial"/>
        <family val="2"/>
      </rPr>
      <t xml:space="preserve"> =</t>
    </r>
  </si>
  <si>
    <r>
      <t>L</t>
    </r>
    <r>
      <rPr>
        <sz val="8"/>
        <rFont val="Arial"/>
        <family val="2"/>
      </rPr>
      <t>Tother</t>
    </r>
    <r>
      <rPr>
        <sz val="10"/>
        <rFont val="Arial"/>
        <family val="2"/>
      </rPr>
      <t xml:space="preserve"> =</t>
    </r>
  </si>
  <si>
    <r>
      <t>L</t>
    </r>
    <r>
      <rPr>
        <sz val="8"/>
        <rFont val="Arial"/>
        <family val="2"/>
      </rPr>
      <t xml:space="preserve">Total </t>
    </r>
    <r>
      <rPr>
        <sz val="10"/>
        <rFont val="Arial"/>
        <family val="2"/>
      </rPr>
      <t>=</t>
    </r>
  </si>
  <si>
    <r>
      <t xml:space="preserve">    T</t>
    </r>
    <r>
      <rPr>
        <sz val="8"/>
        <rFont val="Arial"/>
        <family val="2"/>
      </rPr>
      <t>sys</t>
    </r>
    <r>
      <rPr>
        <sz val="10"/>
        <rFont val="Arial"/>
        <family val="2"/>
      </rPr>
      <t xml:space="preserve"> =</t>
    </r>
  </si>
  <si>
    <r>
      <t>G</t>
    </r>
    <r>
      <rPr>
        <sz val="8"/>
        <rFont val="Arial"/>
        <family val="2"/>
      </rPr>
      <t>T</t>
    </r>
    <r>
      <rPr>
        <sz val="10"/>
        <rFont val="Arial"/>
        <family val="2"/>
      </rPr>
      <t xml:space="preserve"> = </t>
    </r>
  </si>
  <si>
    <t>Point Error:</t>
  </si>
  <si>
    <r>
      <t>EIRP</t>
    </r>
    <r>
      <rPr>
        <sz val="8"/>
        <rFont val="Arial"/>
        <family val="2"/>
      </rPr>
      <t>S/C</t>
    </r>
    <r>
      <rPr>
        <sz val="10"/>
        <rFont val="Arial"/>
        <family val="2"/>
      </rPr>
      <t xml:space="preserve"> =</t>
    </r>
  </si>
  <si>
    <r>
      <t xml:space="preserve">    G</t>
    </r>
    <r>
      <rPr>
        <sz val="8"/>
        <rFont val="Arial"/>
        <family val="2"/>
      </rPr>
      <t>LNA</t>
    </r>
    <r>
      <rPr>
        <sz val="10"/>
        <rFont val="Arial"/>
        <family val="2"/>
      </rPr>
      <t xml:space="preserve"> =</t>
    </r>
  </si>
  <si>
    <r>
      <t xml:space="preserve">    T</t>
    </r>
    <r>
      <rPr>
        <sz val="8"/>
        <rFont val="Arial"/>
        <family val="2"/>
      </rPr>
      <t>LNA</t>
    </r>
    <r>
      <rPr>
        <sz val="10"/>
        <rFont val="Arial"/>
        <family val="2"/>
      </rPr>
      <t xml:space="preserve"> =</t>
    </r>
    <r>
      <rPr>
        <sz val="8"/>
        <rFont val="Arial"/>
        <family val="2"/>
      </rPr>
      <t xml:space="preserve"> </t>
    </r>
  </si>
  <si>
    <r>
      <t>P</t>
    </r>
    <r>
      <rPr>
        <vertAlign val="subscript"/>
        <sz val="10"/>
        <rFont val="Arial"/>
        <family val="2"/>
      </rPr>
      <t>Isotropic GS</t>
    </r>
    <r>
      <rPr>
        <sz val="10"/>
        <rFont val="Arial"/>
        <family val="2"/>
      </rPr>
      <t xml:space="preserve"> =</t>
    </r>
  </si>
  <si>
    <r>
      <t>G</t>
    </r>
    <r>
      <rPr>
        <sz val="8"/>
        <rFont val="Arial"/>
        <family val="2"/>
      </rPr>
      <t>R</t>
    </r>
    <r>
      <rPr>
        <sz val="10"/>
        <rFont val="Arial"/>
        <family val="2"/>
      </rPr>
      <t xml:space="preserve"> =</t>
    </r>
  </si>
  <si>
    <r>
      <t>L</t>
    </r>
    <r>
      <rPr>
        <sz val="8"/>
        <rFont val="Arial"/>
        <family val="2"/>
      </rPr>
      <t xml:space="preserve">Total to LNA </t>
    </r>
    <r>
      <rPr>
        <sz val="10"/>
        <rFont val="Arial"/>
        <family val="2"/>
      </rPr>
      <t>=</t>
    </r>
  </si>
  <si>
    <r>
      <t>T</t>
    </r>
    <r>
      <rPr>
        <sz val="8"/>
        <rFont val="Arial"/>
        <family val="2"/>
      </rPr>
      <t>Antenna</t>
    </r>
    <r>
      <rPr>
        <sz val="10"/>
        <rFont val="Arial"/>
        <family val="2"/>
      </rPr>
      <t xml:space="preserve"> =</t>
    </r>
    <r>
      <rPr>
        <sz val="8"/>
        <rFont val="Arial"/>
        <family val="2"/>
      </rPr>
      <t xml:space="preserve"> </t>
    </r>
  </si>
  <si>
    <r>
      <t>P</t>
    </r>
    <r>
      <rPr>
        <vertAlign val="subscript"/>
        <sz val="10"/>
        <rFont val="Arial"/>
        <family val="2"/>
      </rPr>
      <t>Isotropic S/C</t>
    </r>
    <r>
      <rPr>
        <sz val="10"/>
        <rFont val="Arial"/>
        <family val="2"/>
      </rPr>
      <t xml:space="preserve"> =</t>
    </r>
  </si>
  <si>
    <r>
      <t>EIRP</t>
    </r>
    <r>
      <rPr>
        <sz val="8"/>
        <rFont val="Arial"/>
        <family val="2"/>
      </rPr>
      <t xml:space="preserve">GS </t>
    </r>
    <r>
      <rPr>
        <sz val="10"/>
        <rFont val="Arial"/>
        <family val="2"/>
      </rPr>
      <t>=</t>
    </r>
  </si>
  <si>
    <r>
      <t>G</t>
    </r>
    <r>
      <rPr>
        <sz val="8"/>
        <rFont val="Arial"/>
        <family val="2"/>
      </rPr>
      <t xml:space="preserve">T </t>
    </r>
    <r>
      <rPr>
        <sz val="10"/>
        <rFont val="Arial"/>
        <family val="2"/>
      </rPr>
      <t>=</t>
    </r>
  </si>
  <si>
    <r>
      <t>B</t>
    </r>
    <r>
      <rPr>
        <sz val="8"/>
        <rFont val="Arial"/>
        <family val="2"/>
      </rPr>
      <t xml:space="preserve">Rbpf  </t>
    </r>
    <r>
      <rPr>
        <sz val="10"/>
        <rFont val="Arial"/>
        <family val="2"/>
      </rPr>
      <t>=</t>
    </r>
  </si>
  <si>
    <r>
      <t>E</t>
    </r>
    <r>
      <rPr>
        <sz val="8"/>
        <rFont val="Arial"/>
        <family val="2"/>
      </rPr>
      <t>b</t>
    </r>
    <r>
      <rPr>
        <sz val="10"/>
        <rFont val="Arial"/>
        <family val="2"/>
      </rPr>
      <t>/N</t>
    </r>
    <r>
      <rPr>
        <sz val="8"/>
        <rFont val="Arial"/>
        <family val="2"/>
      </rPr>
      <t>o</t>
    </r>
    <r>
      <rPr>
        <sz val="10"/>
        <rFont val="Arial"/>
        <family val="2"/>
      </rPr>
      <t xml:space="preserve"> Method:</t>
    </r>
  </si>
  <si>
    <r>
      <t>E</t>
    </r>
    <r>
      <rPr>
        <sz val="8"/>
        <rFont val="Arial"/>
        <family val="2"/>
      </rPr>
      <t>b</t>
    </r>
    <r>
      <rPr>
        <sz val="10"/>
        <rFont val="Arial"/>
        <family val="2"/>
      </rPr>
      <t>/N</t>
    </r>
    <r>
      <rPr>
        <sz val="8"/>
        <rFont val="Arial"/>
        <family val="2"/>
      </rPr>
      <t>o</t>
    </r>
    <r>
      <rPr>
        <sz val="10"/>
        <rFont val="Arial"/>
        <family val="2"/>
      </rPr>
      <t xml:space="preserve"> =</t>
    </r>
  </si>
  <si>
    <t>Secondary Eng. Uplink - 436.5 MHz GMSK;  Eng. Downlink - 436.5 MHz GMSK</t>
  </si>
  <si>
    <r>
      <t>P</t>
    </r>
    <r>
      <rPr>
        <sz val="8"/>
        <rFont val="Arial"/>
        <family val="2"/>
      </rPr>
      <t>Tx</t>
    </r>
    <r>
      <rPr>
        <sz val="10"/>
        <rFont val="Arial"/>
        <family val="2"/>
      </rPr>
      <t xml:space="preserve"> =</t>
    </r>
  </si>
  <si>
    <r>
      <t>P</t>
    </r>
    <r>
      <rPr>
        <sz val="8"/>
        <rFont val="Arial"/>
        <family val="2"/>
      </rPr>
      <t xml:space="preserve">Tx </t>
    </r>
    <r>
      <rPr>
        <sz val="10"/>
        <rFont val="Arial"/>
        <family val="2"/>
      </rPr>
      <t>=</t>
    </r>
  </si>
  <si>
    <r>
      <t>T</t>
    </r>
    <r>
      <rPr>
        <vertAlign val="subscript"/>
        <sz val="9"/>
        <rFont val="Arial"/>
        <family val="2"/>
      </rPr>
      <t>X</t>
    </r>
    <r>
      <rPr>
        <sz val="9"/>
        <rFont val="Arial"/>
        <family val="2"/>
      </rPr>
      <t xml:space="preserve"> Dissipation =</t>
    </r>
  </si>
  <si>
    <r>
      <t>T</t>
    </r>
    <r>
      <rPr>
        <vertAlign val="subscript"/>
        <sz val="10"/>
        <rFont val="Arial"/>
        <family val="2"/>
      </rPr>
      <t>X</t>
    </r>
    <r>
      <rPr>
        <sz val="10"/>
        <rFont val="Arial"/>
        <family val="2"/>
      </rPr>
      <t xml:space="preserve"> DC Pwr =</t>
    </r>
  </si>
  <si>
    <t>Switch - DK 401-4208</t>
  </si>
  <si>
    <t>Switch - DK 411-2208</t>
  </si>
  <si>
    <t>S.R.085 + conn.</t>
  </si>
  <si>
    <t>VSWR 2.04</t>
  </si>
  <si>
    <t>Connectors  X  0.066 dB/con. =</t>
  </si>
  <si>
    <t>SMPM @ 440</t>
  </si>
  <si>
    <t>Calculated</t>
  </si>
  <si>
    <t>X .066 dB/Con.=</t>
  </si>
  <si>
    <t>Canted Turnstyle (back)</t>
  </si>
  <si>
    <t>VSWR 1.2 ??</t>
  </si>
  <si>
    <t>2019 June 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</si>
</sst>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8">
    <numFmt numFmtId="43" formatCode="_(* #,##0.00_);_(* \(#,##0.00\);_(* &quot;-&quot;??_);_(@_)"/>
    <numFmt numFmtId="164" formatCode="0.000000"/>
    <numFmt numFmtId="165" formatCode="0.00000"/>
    <numFmt numFmtId="166" formatCode="0.0000"/>
    <numFmt numFmtId="167" formatCode="0.000"/>
    <numFmt numFmtId="168" formatCode="0.0"/>
    <numFmt numFmtId="169" formatCode="_(* #,##0_);_(* \(#,##0\);_(* &quot;-&quot;??_);_(@_)"/>
    <numFmt numFmtId="170" formatCode="0.0E+00"/>
    <numFmt numFmtId="171" formatCode="0.0\ "/>
    <numFmt numFmtId="172" formatCode="0.0&quot; m&quot;"/>
    <numFmt numFmtId="173" formatCode="0.0\ &quot;dB&quot;"/>
    <numFmt numFmtId="174" formatCode="0.0\ &quot;watts&quot;"/>
    <numFmt numFmtId="175" formatCode="0.00\ &quot;dB&quot;"/>
    <numFmt numFmtId="176" formatCode="0.000\ &quot;dB&quot;"/>
    <numFmt numFmtId="177" formatCode="0.0\ &quot;dBi&quot;"/>
    <numFmt numFmtId="178" formatCode="0\ &quot;K&quot;"/>
    <numFmt numFmtId="179" formatCode="0.0\ &quot;dB/K&quot;"/>
    <numFmt numFmtId="180" formatCode="0.00\ &quot;MHz&quot;"/>
    <numFmt numFmtId="181" formatCode="0.0%"/>
    <numFmt numFmtId="182" formatCode="0\ &quot;MHz&quot;"/>
    <numFmt numFmtId="183" formatCode="0.00&quot; m&quot;"/>
    <numFmt numFmtId="184" formatCode="0.0\ &quot;j&quot;"/>
    <numFmt numFmtId="185" formatCode="_(* #,##0.0_);_(* \(#,##0.0\);_(* &quot;-&quot;??_);_(@_)"/>
    <numFmt numFmtId="186" formatCode="#,##0.0_ ;\-#,##0.0\ "/>
    <numFmt numFmtId="187" formatCode="#,##0.0"/>
    <numFmt numFmtId="188" formatCode="#,##0.0;\-#,##0.0"/>
    <numFmt numFmtId="189" formatCode="0.00\ &quot;:1&quot;"/>
    <numFmt numFmtId="190" formatCode="0.00\ &quot;watts&quot;"/>
    <numFmt numFmtId="191" formatCode="#,##0.000"/>
    <numFmt numFmtId="192" formatCode="0.000E+00"/>
    <numFmt numFmtId="193" formatCode="0.00\ &quot;dB/m&quot;"/>
    <numFmt numFmtId="194" formatCode="0,000\ &quot;bps&quot;"/>
    <numFmt numFmtId="195" formatCode="0,000\ &quot;Hz&quot;"/>
    <numFmt numFmtId="196" formatCode="0.00\ &quot;dBm&quot;"/>
    <numFmt numFmtId="197" formatCode="0\ &quot;°&quot;"/>
    <numFmt numFmtId="198" formatCode="0.0\ &quot;dBm&quot;"/>
    <numFmt numFmtId="199" formatCode="0.0\ &quot;W&quot;"/>
    <numFmt numFmtId="200" formatCode="0.00\ &quot;W&quot;"/>
  </numFmts>
  <fonts count="90">
    <font>
      <sz val="10"/>
      <name val="Arial"/>
    </font>
    <font>
      <sz val="10"/>
      <name val="Arial"/>
      <family val="2"/>
    </font>
    <font>
      <u/>
      <sz val="10"/>
      <color indexed="12"/>
      <name val="Arial"/>
      <family val="2"/>
    </font>
    <font>
      <b/>
      <sz val="20"/>
      <color indexed="10"/>
      <name val="Arial"/>
      <family val="2"/>
    </font>
    <font>
      <sz val="20"/>
      <name val="Arial"/>
      <family val="2"/>
    </font>
    <font>
      <b/>
      <sz val="12"/>
      <name val="Arial"/>
      <family val="2"/>
    </font>
    <font>
      <b/>
      <sz val="10"/>
      <name val="Arial"/>
      <family val="2"/>
    </font>
    <font>
      <b/>
      <sz val="12"/>
      <color indexed="12"/>
      <name val="Arial"/>
      <family val="2"/>
    </font>
    <font>
      <b/>
      <sz val="10"/>
      <color indexed="12"/>
      <name val="Arial"/>
      <family val="2"/>
    </font>
    <font>
      <sz val="10"/>
      <color indexed="12"/>
      <name val="Arial"/>
      <family val="2"/>
    </font>
    <font>
      <sz val="12"/>
      <name val="Arial"/>
      <family val="2"/>
    </font>
    <font>
      <i/>
      <sz val="10"/>
      <name val="Arial"/>
      <family val="2"/>
    </font>
    <font>
      <sz val="10"/>
      <name val="Arial"/>
      <family val="2"/>
    </font>
    <font>
      <sz val="10"/>
      <name val="Symbol"/>
      <family val="1"/>
    </font>
    <font>
      <b/>
      <sz val="10"/>
      <name val="Symbol"/>
      <family val="1"/>
    </font>
    <font>
      <b/>
      <sz val="10"/>
      <name val="Arial"/>
      <family val="2"/>
    </font>
    <font>
      <sz val="10"/>
      <color indexed="10"/>
      <name val="Arial"/>
      <family val="2"/>
    </font>
    <font>
      <b/>
      <sz val="10"/>
      <color indexed="10"/>
      <name val="Arial"/>
      <family val="2"/>
    </font>
    <font>
      <b/>
      <sz val="14"/>
      <color indexed="10"/>
      <name val="Arial"/>
      <family val="2"/>
    </font>
    <font>
      <i/>
      <sz val="10"/>
      <color indexed="10"/>
      <name val="Arial"/>
      <family val="2"/>
    </font>
    <font>
      <b/>
      <sz val="16"/>
      <name val="Arial"/>
      <family val="2"/>
    </font>
    <font>
      <u/>
      <sz val="10"/>
      <name val="Arial"/>
      <family val="2"/>
    </font>
    <font>
      <b/>
      <i/>
      <sz val="10"/>
      <color indexed="10"/>
      <name val="Arial"/>
      <family val="2"/>
    </font>
    <font>
      <b/>
      <u/>
      <sz val="10"/>
      <name val="Symbol"/>
      <family val="1"/>
    </font>
    <font>
      <u/>
      <sz val="10"/>
      <name val="Arial"/>
      <family val="2"/>
    </font>
    <font>
      <sz val="10"/>
      <color indexed="12"/>
      <name val="Arial"/>
      <family val="2"/>
    </font>
    <font>
      <sz val="8"/>
      <name val="Arial"/>
      <family val="2"/>
    </font>
    <font>
      <i/>
      <sz val="12"/>
      <name val="Arial"/>
      <family val="2"/>
    </font>
    <font>
      <sz val="12"/>
      <color indexed="12"/>
      <name val="Arial"/>
      <family val="2"/>
    </font>
    <font>
      <sz val="10"/>
      <color indexed="10"/>
      <name val="Arial"/>
      <family val="2"/>
    </font>
    <font>
      <sz val="14"/>
      <name val="Arial"/>
      <family val="2"/>
    </font>
    <font>
      <sz val="14"/>
      <name val="Arial"/>
      <family val="2"/>
    </font>
    <font>
      <b/>
      <sz val="10"/>
      <name val="Times New Roman"/>
      <family val="1"/>
    </font>
    <font>
      <sz val="9"/>
      <name val="Arial"/>
      <family val="2"/>
    </font>
    <font>
      <b/>
      <sz val="14"/>
      <name val="Arial"/>
      <family val="2"/>
    </font>
    <font>
      <b/>
      <sz val="9"/>
      <name val="Arial"/>
      <family val="2"/>
    </font>
    <font>
      <b/>
      <sz val="8"/>
      <name val="Arial"/>
      <family val="2"/>
    </font>
    <font>
      <sz val="8"/>
      <color indexed="81"/>
      <name val="Tahoma"/>
      <family val="2"/>
    </font>
    <font>
      <sz val="12"/>
      <name val="Arial"/>
      <family val="2"/>
    </font>
    <font>
      <b/>
      <sz val="12"/>
      <name val="Arial"/>
      <family val="2"/>
    </font>
    <font>
      <sz val="10"/>
      <name val="Arial"/>
      <family val="2"/>
    </font>
    <font>
      <b/>
      <sz val="14"/>
      <color indexed="12"/>
      <name val="Arial"/>
      <family val="2"/>
    </font>
    <font>
      <b/>
      <i/>
      <sz val="14"/>
      <color indexed="12"/>
      <name val="Arial"/>
      <family val="2"/>
    </font>
    <font>
      <sz val="9"/>
      <color indexed="81"/>
      <name val="Tahoma"/>
      <family val="2"/>
    </font>
    <font>
      <sz val="10"/>
      <color indexed="81"/>
      <name val="Tahoma"/>
      <family val="2"/>
    </font>
    <font>
      <sz val="10"/>
      <color indexed="81"/>
      <name val="Arial"/>
      <family val="2"/>
    </font>
    <font>
      <i/>
      <sz val="10"/>
      <color indexed="81"/>
      <name val="Tahoma"/>
      <family val="2"/>
    </font>
    <font>
      <b/>
      <sz val="18"/>
      <name val="Arial"/>
      <family val="2"/>
    </font>
    <font>
      <b/>
      <sz val="12"/>
      <name val="Symbol"/>
      <family val="1"/>
    </font>
    <font>
      <sz val="10"/>
      <color indexed="81"/>
      <name val="Symbol"/>
      <family val="1"/>
    </font>
    <font>
      <sz val="10"/>
      <color indexed="22"/>
      <name val="Arial"/>
      <family val="2"/>
    </font>
    <font>
      <b/>
      <sz val="10"/>
      <color indexed="22"/>
      <name val="Symbol"/>
      <family val="1"/>
    </font>
    <font>
      <sz val="9"/>
      <color indexed="10"/>
      <name val="Arial"/>
      <family val="2"/>
    </font>
    <font>
      <b/>
      <sz val="10"/>
      <color indexed="81"/>
      <name val="Tahoma"/>
      <family val="2"/>
    </font>
    <font>
      <sz val="20"/>
      <color indexed="10"/>
      <name val="Symbol"/>
      <family val="1"/>
    </font>
    <font>
      <b/>
      <sz val="10"/>
      <color indexed="81"/>
      <name val="Arial"/>
      <family val="2"/>
    </font>
    <font>
      <b/>
      <sz val="8"/>
      <color indexed="81"/>
      <name val="Tahoma"/>
      <family val="2"/>
    </font>
    <font>
      <b/>
      <u/>
      <sz val="10"/>
      <color indexed="81"/>
      <name val="Tahoma"/>
      <family val="2"/>
    </font>
    <font>
      <b/>
      <sz val="10"/>
      <color indexed="81"/>
      <name val="Symbol"/>
      <family val="1"/>
    </font>
    <font>
      <i/>
      <sz val="8"/>
      <color indexed="81"/>
      <name val="Tahoma"/>
      <family val="2"/>
    </font>
    <font>
      <b/>
      <sz val="12"/>
      <color indexed="10"/>
      <name val="Arial"/>
      <family val="2"/>
    </font>
    <font>
      <sz val="10"/>
      <color indexed="9"/>
      <name val="Arial"/>
      <family val="2"/>
    </font>
    <font>
      <sz val="6.7"/>
      <color indexed="81"/>
      <name val="Tahoma"/>
      <family val="2"/>
    </font>
    <font>
      <sz val="10"/>
      <color indexed="12"/>
      <name val="Tahoma"/>
      <family val="2"/>
    </font>
    <font>
      <sz val="10"/>
      <color indexed="10"/>
      <name val="Tahoma"/>
      <family val="2"/>
    </font>
    <font>
      <sz val="8"/>
      <color indexed="12"/>
      <name val="Arial"/>
      <family val="2"/>
    </font>
    <font>
      <b/>
      <sz val="8"/>
      <color indexed="10"/>
      <name val="Arial"/>
      <family val="2"/>
    </font>
    <font>
      <b/>
      <sz val="12"/>
      <color indexed="51"/>
      <name val="Arial"/>
      <family val="2"/>
    </font>
    <font>
      <sz val="10"/>
      <name val="Geneva"/>
    </font>
    <font>
      <i/>
      <u/>
      <sz val="10"/>
      <name val="Geneva"/>
    </font>
    <font>
      <sz val="10"/>
      <color indexed="10"/>
      <name val="Geneva"/>
    </font>
    <font>
      <b/>
      <u/>
      <sz val="10"/>
      <name val="Arial"/>
      <family val="2"/>
    </font>
    <font>
      <b/>
      <sz val="9"/>
      <color indexed="10"/>
      <name val="Arial"/>
      <family val="2"/>
    </font>
    <font>
      <sz val="8"/>
      <color indexed="81"/>
      <name val="Arial"/>
      <family val="2"/>
    </font>
    <font>
      <b/>
      <i/>
      <sz val="12"/>
      <name val="Arial"/>
      <family val="2"/>
    </font>
    <font>
      <b/>
      <i/>
      <sz val="10"/>
      <name val="Arial"/>
      <family val="2"/>
    </font>
    <font>
      <sz val="9"/>
      <name val="Symbol"/>
      <family val="1"/>
    </font>
    <font>
      <sz val="10"/>
      <color theme="0" tint="-0.249977111117893"/>
      <name val="Arial"/>
      <family val="2"/>
    </font>
    <font>
      <sz val="10"/>
      <color rgb="FFFF0000"/>
      <name val="Arial"/>
      <family val="2"/>
    </font>
    <font>
      <b/>
      <sz val="10"/>
      <color rgb="FF0000FF"/>
      <name val="Arial"/>
      <family val="2"/>
    </font>
    <font>
      <sz val="10"/>
      <color theme="0" tint="-0.34998626667073579"/>
      <name val="Arial"/>
      <family val="2"/>
    </font>
    <font>
      <u/>
      <sz val="10"/>
      <color indexed="12"/>
      <name val="Arial"/>
      <family val="2"/>
    </font>
    <font>
      <sz val="10"/>
      <name val="Arial"/>
      <family val="2"/>
    </font>
    <font>
      <sz val="10"/>
      <color rgb="FFFF0000"/>
      <name val="Arial"/>
      <family val="2"/>
    </font>
    <font>
      <b/>
      <sz val="11"/>
      <color theme="1"/>
      <name val="Calibri"/>
      <family val="2"/>
      <scheme val="minor"/>
    </font>
    <font>
      <b/>
      <u/>
      <sz val="10"/>
      <color indexed="12"/>
      <name val="Arial"/>
      <family val="2"/>
    </font>
    <font>
      <sz val="10"/>
      <name val="Arial"/>
      <family val="2"/>
    </font>
    <font>
      <vertAlign val="subscript"/>
      <sz val="10"/>
      <name val="Arial"/>
      <family val="2"/>
    </font>
    <font>
      <b/>
      <sz val="10"/>
      <color rgb="FFFF0000"/>
      <name val="Arial"/>
      <family val="2"/>
    </font>
    <font>
      <vertAlign val="subscript"/>
      <sz val="9"/>
      <name val="Arial"/>
      <family val="2"/>
    </font>
  </fonts>
  <fills count="29">
    <fill>
      <patternFill patternType="none"/>
    </fill>
    <fill>
      <patternFill patternType="gray125"/>
    </fill>
    <fill>
      <patternFill patternType="solid">
        <fgColor indexed="55"/>
        <bgColor indexed="64"/>
      </patternFill>
    </fill>
    <fill>
      <patternFill patternType="solid">
        <fgColor indexed="22"/>
        <bgColor indexed="64"/>
      </patternFill>
    </fill>
    <fill>
      <patternFill patternType="solid">
        <fgColor indexed="51"/>
        <bgColor indexed="64"/>
      </patternFill>
    </fill>
    <fill>
      <patternFill patternType="solid">
        <fgColor indexed="44"/>
        <bgColor indexed="64"/>
      </patternFill>
    </fill>
    <fill>
      <patternFill patternType="solid">
        <fgColor indexed="13"/>
        <bgColor indexed="64"/>
      </patternFill>
    </fill>
    <fill>
      <patternFill patternType="solid">
        <fgColor indexed="49"/>
        <bgColor indexed="64"/>
      </patternFill>
    </fill>
    <fill>
      <patternFill patternType="solid">
        <fgColor indexed="9"/>
        <bgColor indexed="64"/>
      </patternFill>
    </fill>
    <fill>
      <patternFill patternType="solid">
        <fgColor indexed="41"/>
        <bgColor indexed="64"/>
      </patternFill>
    </fill>
    <fill>
      <patternFill patternType="solid">
        <fgColor indexed="50"/>
        <bgColor indexed="64"/>
      </patternFill>
    </fill>
    <fill>
      <patternFill patternType="solid">
        <fgColor indexed="43"/>
        <bgColor indexed="64"/>
      </patternFill>
    </fill>
    <fill>
      <patternFill patternType="solid">
        <fgColor indexed="45"/>
        <bgColor indexed="64"/>
      </patternFill>
    </fill>
    <fill>
      <patternFill patternType="solid">
        <fgColor indexed="52"/>
        <bgColor indexed="64"/>
      </patternFill>
    </fill>
    <fill>
      <patternFill patternType="solid">
        <fgColor indexed="47"/>
        <bgColor indexed="64"/>
      </patternFill>
    </fill>
    <fill>
      <patternFill patternType="solid">
        <fgColor indexed="42"/>
        <bgColor indexed="64"/>
      </patternFill>
    </fill>
    <fill>
      <patternFill patternType="solid">
        <fgColor indexed="40"/>
        <bgColor indexed="64"/>
      </patternFill>
    </fill>
    <fill>
      <patternFill patternType="solid">
        <fgColor indexed="10"/>
        <bgColor indexed="64"/>
      </patternFill>
    </fill>
    <fill>
      <patternFill patternType="solid">
        <fgColor indexed="11"/>
        <bgColor indexed="64"/>
      </patternFill>
    </fill>
    <fill>
      <patternFill patternType="solid">
        <fgColor indexed="23"/>
        <bgColor indexed="64"/>
      </patternFill>
    </fill>
    <fill>
      <patternFill patternType="solid">
        <fgColor theme="0" tint="-0.249977111117893"/>
        <bgColor indexed="64"/>
      </patternFill>
    </fill>
    <fill>
      <patternFill patternType="solid">
        <fgColor theme="0"/>
        <bgColor indexed="64"/>
      </patternFill>
    </fill>
    <fill>
      <patternFill patternType="solid">
        <fgColor rgb="FFFFFF00"/>
        <bgColor indexed="64"/>
      </patternFill>
    </fill>
    <fill>
      <patternFill patternType="solid">
        <fgColor rgb="FF99CCFF"/>
        <bgColor indexed="64"/>
      </patternFill>
    </fill>
    <fill>
      <patternFill patternType="solid">
        <fgColor theme="2" tint="-9.9978637043366805E-2"/>
        <bgColor indexed="64"/>
      </patternFill>
    </fill>
    <fill>
      <patternFill patternType="solid">
        <fgColor theme="0" tint="-0.34998626667073579"/>
        <bgColor indexed="64"/>
      </patternFill>
    </fill>
    <fill>
      <patternFill patternType="solid">
        <fgColor theme="7" tint="0.39997558519241921"/>
        <bgColor indexed="64"/>
      </patternFill>
    </fill>
    <fill>
      <patternFill patternType="solid">
        <fgColor rgb="FFFFCC00"/>
        <bgColor indexed="64"/>
      </patternFill>
    </fill>
    <fill>
      <patternFill patternType="solid">
        <fgColor rgb="FFFFCC99"/>
        <bgColor indexed="64"/>
      </patternFill>
    </fill>
  </fills>
  <borders count="51">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medium">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bottom style="thin">
        <color indexed="64"/>
      </bottom>
      <diagonal/>
    </border>
    <border>
      <left style="thin">
        <color indexed="64"/>
      </left>
      <right/>
      <top/>
      <bottom style="medium">
        <color indexed="64"/>
      </bottom>
      <diagonal/>
    </border>
    <border>
      <left/>
      <right style="thin">
        <color indexed="64"/>
      </right>
      <top/>
      <bottom style="medium">
        <color indexed="64"/>
      </bottom>
      <diagonal/>
    </border>
    <border>
      <left style="medium">
        <color indexed="64"/>
      </left>
      <right/>
      <top style="medium">
        <color indexed="64"/>
      </top>
      <bottom style="medium">
        <color indexed="64"/>
      </bottom>
      <diagonal/>
    </border>
    <border>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diagonal/>
    </border>
    <border>
      <left/>
      <right style="medium">
        <color indexed="64"/>
      </right>
      <top style="thin">
        <color indexed="64"/>
      </top>
      <bottom/>
      <diagonal/>
    </border>
    <border>
      <left/>
      <right style="thin">
        <color indexed="64"/>
      </right>
      <top style="medium">
        <color indexed="64"/>
      </top>
      <bottom/>
      <diagonal/>
    </border>
    <border>
      <left/>
      <right style="thin">
        <color indexed="64"/>
      </right>
      <top style="medium">
        <color indexed="64"/>
      </top>
      <bottom style="medium">
        <color indexed="64"/>
      </bottom>
      <diagonal/>
    </border>
    <border>
      <left/>
      <right style="medium">
        <color indexed="64"/>
      </right>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thin">
        <color indexed="64"/>
      </left>
      <right style="thin">
        <color indexed="64"/>
      </right>
      <top/>
      <bottom style="medium">
        <color indexed="64"/>
      </bottom>
      <diagonal/>
    </border>
    <border>
      <left style="thin">
        <color indexed="64"/>
      </left>
      <right/>
      <top style="medium">
        <color indexed="64"/>
      </top>
      <bottom/>
      <diagonal/>
    </border>
  </borders>
  <cellStyleXfs count="9">
    <xf numFmtId="0" fontId="0" fillId="0" borderId="0"/>
    <xf numFmtId="43" fontId="1" fillId="0" borderId="0" applyFont="0" applyFill="0" applyBorder="0" applyAlignment="0" applyProtection="0"/>
    <xf numFmtId="0" fontId="2" fillId="0" borderId="0" applyNumberFormat="0" applyFill="0" applyBorder="0" applyAlignment="0" applyProtection="0">
      <alignment vertical="top"/>
      <protection locked="0"/>
    </xf>
    <xf numFmtId="0" fontId="68" fillId="0" borderId="0"/>
    <xf numFmtId="9" fontId="1" fillId="0" borderId="0" applyFont="0" applyFill="0" applyBorder="0" applyAlignment="0" applyProtection="0"/>
    <xf numFmtId="0" fontId="81" fillId="0" borderId="0" applyNumberFormat="0" applyFill="0" applyBorder="0" applyAlignment="0" applyProtection="0">
      <alignment vertical="top"/>
      <protection locked="0"/>
    </xf>
    <xf numFmtId="9" fontId="86" fillId="0" borderId="0" applyFont="0" applyFill="0" applyBorder="0" applyAlignment="0" applyProtection="0"/>
    <xf numFmtId="43" fontId="86" fillId="0" borderId="0" applyFont="0" applyFill="0" applyBorder="0" applyAlignment="0" applyProtection="0"/>
    <xf numFmtId="0" fontId="1" fillId="0" borderId="0"/>
  </cellStyleXfs>
  <cellXfs count="1075">
    <xf numFmtId="0" fontId="0" fillId="0" borderId="0" xfId="0"/>
    <xf numFmtId="0" fontId="6" fillId="2" borderId="0" xfId="0" applyFont="1" applyFill="1"/>
    <xf numFmtId="0" fontId="0" fillId="2" borderId="0" xfId="0" applyFill="1"/>
    <xf numFmtId="0" fontId="0" fillId="3" borderId="0" xfId="0" applyFill="1"/>
    <xf numFmtId="0" fontId="6" fillId="3" borderId="0" xfId="0" applyFont="1" applyFill="1"/>
    <xf numFmtId="0" fontId="7" fillId="4" borderId="1" xfId="0" applyFont="1" applyFill="1" applyBorder="1" applyAlignment="1">
      <alignment horizontal="center"/>
    </xf>
    <xf numFmtId="0" fontId="7" fillId="3" borderId="0" xfId="0" applyFont="1" applyFill="1" applyAlignment="1">
      <alignment horizontal="center"/>
    </xf>
    <xf numFmtId="0" fontId="7" fillId="3" borderId="0" xfId="0" applyFont="1" applyFill="1" applyBorder="1" applyAlignment="1">
      <alignment horizontal="center"/>
    </xf>
    <xf numFmtId="0" fontId="9" fillId="3" borderId="0" xfId="0" applyFont="1" applyFill="1"/>
    <xf numFmtId="0" fontId="11" fillId="0" borderId="4" xfId="0" applyFont="1" applyBorder="1" applyAlignment="1">
      <alignment horizontal="center"/>
    </xf>
    <xf numFmtId="0" fontId="11" fillId="0" borderId="5" xfId="0" applyFont="1" applyBorder="1" applyAlignment="1">
      <alignment horizontal="center"/>
    </xf>
    <xf numFmtId="0" fontId="11" fillId="0" borderId="6" xfId="0" applyFont="1" applyBorder="1" applyAlignment="1">
      <alignment horizontal="center"/>
    </xf>
    <xf numFmtId="0" fontId="12" fillId="3" borderId="0" xfId="0" applyFont="1" applyFill="1" applyAlignment="1">
      <alignment horizontal="left"/>
    </xf>
    <xf numFmtId="39" fontId="12" fillId="3" borderId="0" xfId="1" applyNumberFormat="1" applyFont="1" applyFill="1" applyAlignment="1">
      <alignment horizontal="center"/>
    </xf>
    <xf numFmtId="164" fontId="0" fillId="3" borderId="0" xfId="0" applyNumberFormat="1" applyFill="1" applyAlignment="1">
      <alignment horizontal="center"/>
    </xf>
    <xf numFmtId="2" fontId="0" fillId="3" borderId="0" xfId="0" applyNumberFormat="1" applyFill="1" applyAlignment="1">
      <alignment horizontal="center"/>
    </xf>
    <xf numFmtId="166" fontId="0" fillId="3" borderId="0" xfId="0" applyNumberFormat="1" applyFill="1" applyAlignment="1">
      <alignment horizontal="center"/>
    </xf>
    <xf numFmtId="0" fontId="0" fillId="3" borderId="0" xfId="0" applyFill="1" applyAlignment="1">
      <alignment horizontal="right"/>
    </xf>
    <xf numFmtId="0" fontId="0" fillId="0" borderId="0" xfId="0" applyAlignment="1">
      <alignment horizontal="center"/>
    </xf>
    <xf numFmtId="0" fontId="0" fillId="0" borderId="0" xfId="0" applyAlignment="1">
      <alignment horizontal="right"/>
    </xf>
    <xf numFmtId="164" fontId="0" fillId="0" borderId="0" xfId="0" applyNumberFormat="1" applyAlignment="1">
      <alignment horizontal="center"/>
    </xf>
    <xf numFmtId="164" fontId="0" fillId="5" borderId="0" xfId="0" applyNumberFormat="1" applyFill="1" applyAlignment="1">
      <alignment horizontal="right"/>
    </xf>
    <xf numFmtId="0" fontId="0" fillId="5" borderId="0" xfId="0" applyFill="1" applyAlignment="1">
      <alignment horizontal="right"/>
    </xf>
    <xf numFmtId="0" fontId="0" fillId="5" borderId="0" xfId="0" applyFill="1"/>
    <xf numFmtId="0" fontId="0" fillId="4" borderId="7" xfId="0" applyFill="1" applyBorder="1"/>
    <xf numFmtId="0" fontId="0" fillId="4" borderId="8" xfId="0" applyFill="1" applyBorder="1"/>
    <xf numFmtId="0" fontId="0" fillId="3" borderId="0" xfId="0" quotePrefix="1" applyFill="1"/>
    <xf numFmtId="2" fontId="0" fillId="3" borderId="0" xfId="0" quotePrefix="1" applyNumberFormat="1" applyFill="1"/>
    <xf numFmtId="2" fontId="0" fillId="3" borderId="0" xfId="0" applyNumberFormat="1" applyFill="1"/>
    <xf numFmtId="0" fontId="11" fillId="4" borderId="0" xfId="0" applyFont="1" applyFill="1" applyAlignment="1">
      <alignment horizontal="center"/>
    </xf>
    <xf numFmtId="39" fontId="0" fillId="3" borderId="0" xfId="0" applyNumberFormat="1" applyFill="1" applyAlignment="1">
      <alignment horizontal="center"/>
    </xf>
    <xf numFmtId="0" fontId="0" fillId="3" borderId="0" xfId="0" applyFill="1" applyBorder="1" applyAlignment="1">
      <alignment horizontal="center"/>
    </xf>
    <xf numFmtId="167" fontId="0" fillId="3" borderId="0" xfId="0" applyNumberFormat="1" applyFill="1" applyAlignment="1">
      <alignment horizontal="center"/>
    </xf>
    <xf numFmtId="168" fontId="0" fillId="3" borderId="0" xfId="0" applyNumberFormat="1" applyFill="1" applyAlignment="1">
      <alignment horizontal="center"/>
    </xf>
    <xf numFmtId="0" fontId="15" fillId="3" borderId="0" xfId="0" applyFont="1" applyFill="1"/>
    <xf numFmtId="0" fontId="6" fillId="4" borderId="1" xfId="0" applyFont="1" applyFill="1" applyBorder="1" applyAlignment="1">
      <alignment horizontal="center"/>
    </xf>
    <xf numFmtId="0" fontId="19" fillId="5" borderId="0" xfId="0" applyFont="1" applyFill="1"/>
    <xf numFmtId="0" fontId="0" fillId="4" borderId="0" xfId="0" applyFill="1"/>
    <xf numFmtId="168" fontId="0" fillId="0" borderId="0" xfId="0" applyNumberFormat="1"/>
    <xf numFmtId="168" fontId="0" fillId="4" borderId="9" xfId="0" applyNumberFormat="1" applyFill="1" applyBorder="1"/>
    <xf numFmtId="168" fontId="17" fillId="6" borderId="1" xfId="0" applyNumberFormat="1" applyFont="1" applyFill="1" applyBorder="1" applyAlignment="1">
      <alignment horizontal="center"/>
    </xf>
    <xf numFmtId="0" fontId="0" fillId="5" borderId="6" xfId="0" applyFill="1" applyBorder="1" applyAlignment="1">
      <alignment horizontal="center"/>
    </xf>
    <xf numFmtId="0" fontId="16" fillId="5" borderId="0" xfId="0" applyFont="1" applyFill="1"/>
    <xf numFmtId="0" fontId="18" fillId="7" borderId="0" xfId="0" applyFont="1" applyFill="1" applyAlignment="1">
      <alignment horizontal="center"/>
    </xf>
    <xf numFmtId="0" fontId="0" fillId="7" borderId="0" xfId="0" applyFill="1"/>
    <xf numFmtId="0" fontId="20" fillId="7" borderId="0" xfId="0" applyFont="1" applyFill="1"/>
    <xf numFmtId="0" fontId="17" fillId="5" borderId="0" xfId="0" applyFont="1" applyFill="1"/>
    <xf numFmtId="0" fontId="6" fillId="5" borderId="0" xfId="0" applyFont="1" applyFill="1"/>
    <xf numFmtId="0" fontId="17" fillId="6" borderId="1" xfId="0" applyFont="1" applyFill="1" applyBorder="1" applyAlignment="1">
      <alignment horizontal="center"/>
    </xf>
    <xf numFmtId="0" fontId="0" fillId="3" borderId="9" xfId="0" applyFill="1" applyBorder="1" applyAlignment="1">
      <alignment horizontal="center"/>
    </xf>
    <xf numFmtId="0" fontId="21" fillId="3" borderId="0" xfId="0" applyFont="1" applyFill="1"/>
    <xf numFmtId="0" fontId="6" fillId="4" borderId="7" xfId="0" applyFont="1" applyFill="1" applyBorder="1"/>
    <xf numFmtId="0" fontId="3" fillId="7" borderId="0" xfId="0" applyFont="1" applyFill="1" applyBorder="1"/>
    <xf numFmtId="0" fontId="4" fillId="7" borderId="0" xfId="0" applyFont="1" applyFill="1" applyBorder="1"/>
    <xf numFmtId="0" fontId="5" fillId="7" borderId="0" xfId="0" applyFont="1" applyFill="1" applyBorder="1" applyAlignment="1">
      <alignment horizontal="left"/>
    </xf>
    <xf numFmtId="0" fontId="0" fillId="7" borderId="0" xfId="0" applyFill="1" applyBorder="1"/>
    <xf numFmtId="0" fontId="3" fillId="7" borderId="0" xfId="0" applyFont="1" applyFill="1" applyBorder="1" applyAlignment="1">
      <alignment horizontal="center"/>
    </xf>
    <xf numFmtId="0" fontId="20" fillId="7" borderId="0" xfId="0" applyFont="1" applyFill="1" applyBorder="1"/>
    <xf numFmtId="0" fontId="6" fillId="7" borderId="0" xfId="0" applyFont="1" applyFill="1"/>
    <xf numFmtId="0" fontId="6" fillId="7" borderId="0" xfId="0" applyFont="1" applyFill="1" applyAlignment="1">
      <alignment horizontal="left"/>
    </xf>
    <xf numFmtId="2" fontId="9" fillId="0" borderId="10" xfId="0" applyNumberFormat="1" applyFont="1" applyFill="1" applyBorder="1" applyAlignment="1">
      <alignment horizontal="center"/>
    </xf>
    <xf numFmtId="168" fontId="9" fillId="0" borderId="11" xfId="0" applyNumberFormat="1" applyFont="1" applyFill="1" applyBorder="1" applyAlignment="1">
      <alignment horizontal="center"/>
    </xf>
    <xf numFmtId="2" fontId="9" fillId="0" borderId="12" xfId="0" applyNumberFormat="1" applyFont="1" applyFill="1" applyBorder="1" applyAlignment="1">
      <alignment horizontal="center"/>
    </xf>
    <xf numFmtId="0" fontId="22" fillId="5" borderId="0" xfId="0" applyFont="1" applyFill="1" applyAlignment="1">
      <alignment horizontal="center"/>
    </xf>
    <xf numFmtId="168" fontId="0" fillId="5" borderId="0" xfId="0" applyNumberFormat="1" applyFill="1"/>
    <xf numFmtId="167" fontId="12" fillId="3" borderId="0" xfId="0" applyNumberFormat="1" applyFont="1" applyFill="1" applyBorder="1" applyAlignment="1">
      <alignment horizontal="center"/>
    </xf>
    <xf numFmtId="0" fontId="27" fillId="5" borderId="9" xfId="0" applyFont="1" applyFill="1" applyBorder="1" applyAlignment="1">
      <alignment horizontal="center"/>
    </xf>
    <xf numFmtId="0" fontId="10" fillId="3" borderId="9" xfId="0" applyFont="1" applyFill="1" applyBorder="1" applyAlignment="1">
      <alignment horizontal="center"/>
    </xf>
    <xf numFmtId="11" fontId="10" fillId="3" borderId="9" xfId="0" applyNumberFormat="1" applyFont="1" applyFill="1" applyBorder="1" applyAlignment="1">
      <alignment horizontal="center"/>
    </xf>
    <xf numFmtId="0" fontId="28" fillId="3" borderId="9" xfId="0" applyFont="1" applyFill="1" applyBorder="1" applyAlignment="1">
      <alignment horizontal="center"/>
    </xf>
    <xf numFmtId="0" fontId="10" fillId="4" borderId="9" xfId="0" applyFont="1" applyFill="1" applyBorder="1" applyAlignment="1">
      <alignment horizontal="center"/>
    </xf>
    <xf numFmtId="0" fontId="0" fillId="4" borderId="6" xfId="0" applyFill="1" applyBorder="1" applyAlignment="1">
      <alignment horizontal="center"/>
    </xf>
    <xf numFmtId="0" fontId="6" fillId="5" borderId="10" xfId="0" applyFont="1" applyFill="1" applyBorder="1" applyAlignment="1">
      <alignment horizontal="center"/>
    </xf>
    <xf numFmtId="0" fontId="6" fillId="5" borderId="11" xfId="0" applyFont="1" applyFill="1" applyBorder="1" applyAlignment="1">
      <alignment horizontal="center"/>
    </xf>
    <xf numFmtId="0" fontId="29" fillId="6" borderId="3" xfId="0" applyFont="1" applyFill="1" applyBorder="1" applyAlignment="1">
      <alignment horizontal="center"/>
    </xf>
    <xf numFmtId="168" fontId="17" fillId="6" borderId="2" xfId="0" applyNumberFormat="1" applyFont="1" applyFill="1" applyBorder="1" applyAlignment="1">
      <alignment horizontal="center"/>
    </xf>
    <xf numFmtId="168" fontId="10" fillId="3" borderId="9" xfId="0" applyNumberFormat="1" applyFont="1" applyFill="1" applyBorder="1" applyAlignment="1">
      <alignment horizontal="center"/>
    </xf>
    <xf numFmtId="168" fontId="28" fillId="3" borderId="9" xfId="0" applyNumberFormat="1" applyFont="1" applyFill="1" applyBorder="1" applyAlignment="1">
      <alignment horizontal="center"/>
    </xf>
    <xf numFmtId="11" fontId="28" fillId="3" borderId="9" xfId="0" applyNumberFormat="1" applyFont="1" applyFill="1" applyBorder="1" applyAlignment="1">
      <alignment horizontal="center"/>
    </xf>
    <xf numFmtId="0" fontId="0" fillId="3" borderId="0" xfId="0" applyFill="1" applyAlignment="1">
      <alignment horizontal="center"/>
    </xf>
    <xf numFmtId="0" fontId="0" fillId="5" borderId="13" xfId="0" applyFill="1" applyBorder="1"/>
    <xf numFmtId="0" fontId="0" fillId="0" borderId="0" xfId="0" applyBorder="1" applyAlignment="1">
      <alignment horizontal="center"/>
    </xf>
    <xf numFmtId="0" fontId="0" fillId="8" borderId="14" xfId="0" applyFill="1" applyBorder="1"/>
    <xf numFmtId="0" fontId="0" fillId="8" borderId="15" xfId="0" applyFill="1" applyBorder="1"/>
    <xf numFmtId="0" fontId="0" fillId="8" borderId="16" xfId="0" applyFill="1" applyBorder="1"/>
    <xf numFmtId="0" fontId="0" fillId="8" borderId="17" xfId="0" applyFill="1" applyBorder="1"/>
    <xf numFmtId="0" fontId="0" fillId="8" borderId="0" xfId="0" applyFill="1" applyBorder="1"/>
    <xf numFmtId="0" fontId="0" fillId="8" borderId="18" xfId="0" applyFill="1" applyBorder="1"/>
    <xf numFmtId="0" fontId="0" fillId="8" borderId="19" xfId="0" applyFill="1" applyBorder="1"/>
    <xf numFmtId="0" fontId="0" fillId="8" borderId="20" xfId="0" applyFill="1" applyBorder="1"/>
    <xf numFmtId="0" fontId="0" fillId="8" borderId="21" xfId="0" applyFill="1" applyBorder="1"/>
    <xf numFmtId="0" fontId="0" fillId="9" borderId="0" xfId="0" applyFill="1"/>
    <xf numFmtId="2" fontId="16" fillId="6" borderId="1" xfId="0" applyNumberFormat="1" applyFont="1" applyFill="1" applyBorder="1" applyAlignment="1">
      <alignment horizontal="center"/>
    </xf>
    <xf numFmtId="2" fontId="29" fillId="6" borderId="1" xfId="0" applyNumberFormat="1" applyFont="1" applyFill="1" applyBorder="1" applyAlignment="1">
      <alignment horizontal="center"/>
    </xf>
    <xf numFmtId="0" fontId="12" fillId="3" borderId="0" xfId="0" applyFont="1" applyFill="1"/>
    <xf numFmtId="0" fontId="6" fillId="5" borderId="13" xfId="0" applyFont="1" applyFill="1" applyBorder="1"/>
    <xf numFmtId="0" fontId="0" fillId="5" borderId="22" xfId="0" applyFill="1" applyBorder="1"/>
    <xf numFmtId="0" fontId="11" fillId="9" borderId="23" xfId="0" applyFont="1" applyFill="1" applyBorder="1"/>
    <xf numFmtId="0" fontId="0" fillId="9" borderId="0" xfId="0" applyFill="1" applyBorder="1"/>
    <xf numFmtId="0" fontId="0" fillId="9" borderId="24" xfId="0" applyFill="1" applyBorder="1"/>
    <xf numFmtId="0" fontId="0" fillId="3" borderId="23" xfId="0" applyFill="1" applyBorder="1"/>
    <xf numFmtId="0" fontId="0" fillId="3" borderId="0" xfId="0" applyFill="1" applyBorder="1"/>
    <xf numFmtId="0" fontId="0" fillId="3" borderId="0" xfId="0" applyFill="1" applyBorder="1" applyAlignment="1">
      <alignment horizontal="right"/>
    </xf>
    <xf numFmtId="0" fontId="0" fillId="3" borderId="24" xfId="0" applyFill="1" applyBorder="1" applyAlignment="1">
      <alignment horizontal="center"/>
    </xf>
    <xf numFmtId="2" fontId="0" fillId="0" borderId="0" xfId="0" applyNumberFormat="1" applyBorder="1" applyAlignment="1">
      <alignment horizontal="center"/>
    </xf>
    <xf numFmtId="0" fontId="0" fillId="3" borderId="24" xfId="0" applyFill="1" applyBorder="1"/>
    <xf numFmtId="165" fontId="0" fillId="0" borderId="0" xfId="0" applyNumberFormat="1" applyBorder="1" applyAlignment="1">
      <alignment horizontal="center"/>
    </xf>
    <xf numFmtId="2" fontId="16" fillId="3" borderId="0" xfId="0" applyNumberFormat="1" applyFont="1" applyFill="1" applyBorder="1" applyAlignment="1">
      <alignment horizontal="center"/>
    </xf>
    <xf numFmtId="0" fontId="0" fillId="9" borderId="0" xfId="0" applyFill="1" applyBorder="1" applyAlignment="1">
      <alignment horizontal="right"/>
    </xf>
    <xf numFmtId="2" fontId="16" fillId="9" borderId="0" xfId="0" applyNumberFormat="1" applyFont="1" applyFill="1" applyBorder="1" applyAlignment="1">
      <alignment horizontal="center"/>
    </xf>
    <xf numFmtId="0" fontId="0" fillId="9" borderId="24" xfId="0" applyFill="1" applyBorder="1" applyAlignment="1">
      <alignment horizontal="center"/>
    </xf>
    <xf numFmtId="0" fontId="0" fillId="3" borderId="25" xfId="0" applyFill="1" applyBorder="1"/>
    <xf numFmtId="0" fontId="0" fillId="3" borderId="26" xfId="0" applyFill="1" applyBorder="1"/>
    <xf numFmtId="0" fontId="0" fillId="3" borderId="27" xfId="0" applyFill="1" applyBorder="1"/>
    <xf numFmtId="0" fontId="0" fillId="3" borderId="14" xfId="0" applyFill="1" applyBorder="1"/>
    <xf numFmtId="0" fontId="0" fillId="3" borderId="15" xfId="0" applyFill="1" applyBorder="1"/>
    <xf numFmtId="0" fontId="0" fillId="3" borderId="16" xfId="0" applyFill="1" applyBorder="1"/>
    <xf numFmtId="0" fontId="0" fillId="3" borderId="19" xfId="0" applyFill="1" applyBorder="1"/>
    <xf numFmtId="0" fontId="0" fillId="3" borderId="20" xfId="0" applyFill="1" applyBorder="1"/>
    <xf numFmtId="0" fontId="0" fillId="3" borderId="21" xfId="0" applyFill="1" applyBorder="1"/>
    <xf numFmtId="0" fontId="6" fillId="9" borderId="0" xfId="0" applyFont="1" applyFill="1"/>
    <xf numFmtId="0" fontId="33" fillId="3" borderId="0" xfId="0" applyFont="1" applyFill="1"/>
    <xf numFmtId="0" fontId="0" fillId="3" borderId="4" xfId="0" applyFill="1" applyBorder="1"/>
    <xf numFmtId="0" fontId="0" fillId="3" borderId="5" xfId="0" applyFill="1" applyBorder="1"/>
    <xf numFmtId="0" fontId="0" fillId="3" borderId="6" xfId="0" applyFill="1" applyBorder="1"/>
    <xf numFmtId="0" fontId="34" fillId="4" borderId="26" xfId="0" applyFont="1" applyFill="1" applyBorder="1"/>
    <xf numFmtId="0" fontId="31" fillId="4" borderId="26" xfId="0" applyFont="1" applyFill="1" applyBorder="1"/>
    <xf numFmtId="0" fontId="0" fillId="4" borderId="26" xfId="0" applyFill="1" applyBorder="1"/>
    <xf numFmtId="2" fontId="9" fillId="5" borderId="9" xfId="0" applyNumberFormat="1" applyFont="1" applyFill="1" applyBorder="1" applyAlignment="1">
      <alignment horizontal="center"/>
    </xf>
    <xf numFmtId="168" fontId="9" fillId="5" borderId="9" xfId="0" applyNumberFormat="1" applyFont="1" applyFill="1" applyBorder="1" applyAlignment="1">
      <alignment horizontal="center"/>
    </xf>
    <xf numFmtId="0" fontId="11" fillId="5" borderId="0" xfId="0" applyFont="1" applyFill="1" applyBorder="1" applyAlignment="1">
      <alignment horizontal="center"/>
    </xf>
    <xf numFmtId="0" fontId="11" fillId="5" borderId="18" xfId="0" applyFont="1" applyFill="1" applyBorder="1" applyAlignment="1">
      <alignment horizontal="center"/>
    </xf>
    <xf numFmtId="168" fontId="29" fillId="6" borderId="9" xfId="0" applyNumberFormat="1" applyFont="1" applyFill="1" applyBorder="1" applyAlignment="1">
      <alignment horizontal="center"/>
    </xf>
    <xf numFmtId="0" fontId="11" fillId="5" borderId="17" xfId="0" applyFont="1" applyFill="1" applyBorder="1" applyAlignment="1">
      <alignment horizontal="center"/>
    </xf>
    <xf numFmtId="2" fontId="0" fillId="10" borderId="0" xfId="0" applyNumberFormat="1" applyFill="1"/>
    <xf numFmtId="0" fontId="0" fillId="0" borderId="0" xfId="0" applyFill="1"/>
    <xf numFmtId="0" fontId="7" fillId="3" borderId="0" xfId="0" applyFont="1" applyFill="1"/>
    <xf numFmtId="0" fontId="0" fillId="9" borderId="28" xfId="0" applyFill="1" applyBorder="1" applyAlignment="1">
      <alignment horizontal="center"/>
    </xf>
    <xf numFmtId="0" fontId="0" fillId="9" borderId="13" xfId="0" applyFill="1" applyBorder="1"/>
    <xf numFmtId="0" fontId="0" fillId="9" borderId="22" xfId="0" applyFill="1" applyBorder="1"/>
    <xf numFmtId="0" fontId="0" fillId="11" borderId="23" xfId="0" applyFill="1" applyBorder="1" applyAlignment="1">
      <alignment horizontal="center"/>
    </xf>
    <xf numFmtId="0" fontId="0" fillId="11" borderId="0" xfId="0" applyFill="1" applyBorder="1"/>
    <xf numFmtId="0" fontId="0" fillId="11" borderId="0" xfId="0" applyFill="1" applyBorder="1" applyAlignment="1">
      <alignment horizontal="right"/>
    </xf>
    <xf numFmtId="0" fontId="0" fillId="11" borderId="24" xfId="0" applyFill="1" applyBorder="1"/>
    <xf numFmtId="0" fontId="0" fillId="9" borderId="23" xfId="0" applyFill="1" applyBorder="1" applyAlignment="1">
      <alignment horizontal="center"/>
    </xf>
    <xf numFmtId="0" fontId="0" fillId="11" borderId="25" xfId="0" applyFill="1" applyBorder="1" applyAlignment="1">
      <alignment horizontal="center"/>
    </xf>
    <xf numFmtId="0" fontId="0" fillId="11" borderId="26" xfId="0" applyFill="1" applyBorder="1"/>
    <xf numFmtId="9" fontId="25" fillId="11" borderId="26" xfId="4" applyFont="1" applyFill="1" applyBorder="1" applyAlignment="1">
      <alignment horizontal="center"/>
    </xf>
    <xf numFmtId="168" fontId="25" fillId="6" borderId="26" xfId="0" applyNumberFormat="1" applyFont="1" applyFill="1" applyBorder="1" applyAlignment="1">
      <alignment horizontal="center"/>
    </xf>
    <xf numFmtId="168" fontId="25" fillId="6" borderId="26" xfId="0" applyNumberFormat="1" applyFont="1" applyFill="1" applyBorder="1" applyAlignment="1">
      <alignment horizontal="right"/>
    </xf>
    <xf numFmtId="0" fontId="0" fillId="11" borderId="27" xfId="0" applyFill="1" applyBorder="1"/>
    <xf numFmtId="0" fontId="0" fillId="9" borderId="29" xfId="0" applyFill="1" applyBorder="1"/>
    <xf numFmtId="0" fontId="0" fillId="9" borderId="29" xfId="0" applyFill="1" applyBorder="1" applyAlignment="1">
      <alignment horizontal="right"/>
    </xf>
    <xf numFmtId="168" fontId="0" fillId="6" borderId="29" xfId="0" applyNumberFormat="1" applyFill="1" applyBorder="1" applyAlignment="1">
      <alignment horizontal="center"/>
    </xf>
    <xf numFmtId="168" fontId="0" fillId="6" borderId="29" xfId="0" applyNumberFormat="1" applyFill="1" applyBorder="1"/>
    <xf numFmtId="167" fontId="0" fillId="6" borderId="29" xfId="0" applyNumberFormat="1" applyFill="1" applyBorder="1" applyAlignment="1">
      <alignment horizontal="center"/>
    </xf>
    <xf numFmtId="0" fontId="0" fillId="9" borderId="30" xfId="0" applyFill="1" applyBorder="1"/>
    <xf numFmtId="0" fontId="0" fillId="11" borderId="31" xfId="0" applyFill="1" applyBorder="1" applyAlignment="1">
      <alignment horizontal="center"/>
    </xf>
    <xf numFmtId="0" fontId="0" fillId="11" borderId="5" xfId="0" applyFill="1" applyBorder="1"/>
    <xf numFmtId="0" fontId="25" fillId="11" borderId="5" xfId="0" applyFont="1" applyFill="1" applyBorder="1" applyAlignment="1">
      <alignment horizontal="center"/>
    </xf>
    <xf numFmtId="0" fontId="0" fillId="11" borderId="5" xfId="0" applyFill="1" applyBorder="1" applyAlignment="1">
      <alignment horizontal="right"/>
    </xf>
    <xf numFmtId="168" fontId="25" fillId="11" borderId="5" xfId="0" applyNumberFormat="1" applyFont="1" applyFill="1" applyBorder="1" applyAlignment="1">
      <alignment horizontal="center"/>
    </xf>
    <xf numFmtId="168" fontId="0" fillId="6" borderId="5" xfId="0" applyNumberFormat="1" applyFill="1" applyBorder="1" applyAlignment="1">
      <alignment horizontal="center"/>
    </xf>
    <xf numFmtId="168" fontId="0" fillId="6" borderId="5" xfId="0" applyNumberFormat="1" applyFill="1" applyBorder="1" applyAlignment="1">
      <alignment horizontal="right"/>
    </xf>
    <xf numFmtId="0" fontId="0" fillId="11" borderId="32" xfId="0" applyFill="1" applyBorder="1"/>
    <xf numFmtId="0" fontId="0" fillId="9" borderId="31" xfId="0" applyFill="1" applyBorder="1" applyAlignment="1">
      <alignment horizontal="center"/>
    </xf>
    <xf numFmtId="0" fontId="0" fillId="9" borderId="5" xfId="0" applyFill="1" applyBorder="1"/>
    <xf numFmtId="0" fontId="0" fillId="9" borderId="5" xfId="0" applyFill="1" applyBorder="1" applyAlignment="1">
      <alignment horizontal="right"/>
    </xf>
    <xf numFmtId="172" fontId="25" fillId="9" borderId="5" xfId="0" applyNumberFormat="1" applyFont="1" applyFill="1" applyBorder="1" applyAlignment="1">
      <alignment horizontal="center"/>
    </xf>
    <xf numFmtId="9" fontId="25" fillId="9" borderId="5" xfId="4" applyFont="1" applyFill="1" applyBorder="1" applyAlignment="1">
      <alignment horizontal="center"/>
    </xf>
    <xf numFmtId="0" fontId="0" fillId="9" borderId="32" xfId="0" applyFill="1" applyBorder="1"/>
    <xf numFmtId="0" fontId="0" fillId="9" borderId="20" xfId="0" applyFill="1" applyBorder="1"/>
    <xf numFmtId="0" fontId="0" fillId="9" borderId="20" xfId="0" applyFill="1" applyBorder="1" applyAlignment="1">
      <alignment horizontal="right"/>
    </xf>
    <xf numFmtId="168" fontId="25" fillId="9" borderId="20" xfId="0" applyNumberFormat="1" applyFont="1" applyFill="1" applyBorder="1" applyAlignment="1">
      <alignment horizontal="center"/>
    </xf>
    <xf numFmtId="1" fontId="1" fillId="6" borderId="20" xfId="0" applyNumberFormat="1" applyFont="1" applyFill="1" applyBorder="1" applyAlignment="1">
      <alignment horizontal="center"/>
    </xf>
    <xf numFmtId="0" fontId="0" fillId="9" borderId="20" xfId="0" applyFill="1" applyBorder="1" applyAlignment="1">
      <alignment horizontal="left"/>
    </xf>
    <xf numFmtId="0" fontId="0" fillId="9" borderId="33" xfId="0" applyFill="1" applyBorder="1" applyAlignment="1">
      <alignment horizontal="center"/>
    </xf>
    <xf numFmtId="0" fontId="0" fillId="11" borderId="17" xfId="0" applyFill="1" applyBorder="1"/>
    <xf numFmtId="0" fontId="6" fillId="11" borderId="17" xfId="0" applyFont="1" applyFill="1" applyBorder="1"/>
    <xf numFmtId="0" fontId="0" fillId="11" borderId="34" xfId="0" applyFill="1" applyBorder="1"/>
    <xf numFmtId="0" fontId="0" fillId="11" borderId="15" xfId="0" applyFill="1" applyBorder="1"/>
    <xf numFmtId="0" fontId="0" fillId="11" borderId="16" xfId="0" applyFill="1" applyBorder="1"/>
    <xf numFmtId="0" fontId="0" fillId="11" borderId="18" xfId="0" applyFill="1" applyBorder="1"/>
    <xf numFmtId="0" fontId="0" fillId="11" borderId="35" xfId="0" applyFill="1" applyBorder="1"/>
    <xf numFmtId="0" fontId="0" fillId="6" borderId="4" xfId="0" applyFill="1" applyBorder="1" applyAlignment="1">
      <alignment horizontal="left"/>
    </xf>
    <xf numFmtId="0" fontId="0" fillId="6" borderId="6" xfId="0" applyFill="1" applyBorder="1"/>
    <xf numFmtId="0" fontId="6" fillId="12" borderId="8" xfId="0" applyFont="1" applyFill="1" applyBorder="1"/>
    <xf numFmtId="0" fontId="6" fillId="12" borderId="36" xfId="0" applyFont="1" applyFill="1" applyBorder="1"/>
    <xf numFmtId="0" fontId="7" fillId="12" borderId="4" xfId="0" applyFont="1" applyFill="1" applyBorder="1"/>
    <xf numFmtId="0" fontId="0" fillId="12" borderId="5" xfId="0" applyFill="1" applyBorder="1"/>
    <xf numFmtId="0" fontId="0" fillId="12" borderId="6" xfId="0" applyFill="1" applyBorder="1"/>
    <xf numFmtId="0" fontId="0" fillId="6" borderId="0" xfId="0" applyFill="1" applyBorder="1"/>
    <xf numFmtId="0" fontId="0" fillId="11" borderId="0" xfId="0" applyFill="1" applyBorder="1" applyAlignment="1">
      <alignment horizontal="center"/>
    </xf>
    <xf numFmtId="0" fontId="0" fillId="12" borderId="8" xfId="0" applyFill="1" applyBorder="1"/>
    <xf numFmtId="168" fontId="0" fillId="6" borderId="0" xfId="0" applyNumberFormat="1" applyFill="1" applyBorder="1"/>
    <xf numFmtId="0" fontId="0" fillId="9" borderId="26" xfId="0" applyFill="1" applyBorder="1"/>
    <xf numFmtId="0" fontId="0" fillId="9" borderId="27" xfId="0" applyFill="1" applyBorder="1"/>
    <xf numFmtId="0" fontId="0" fillId="9" borderId="25" xfId="0" applyFill="1" applyBorder="1" applyAlignment="1">
      <alignment horizontal="center"/>
    </xf>
    <xf numFmtId="0" fontId="0" fillId="6" borderId="13" xfId="0" applyFill="1" applyBorder="1"/>
    <xf numFmtId="0" fontId="29" fillId="11" borderId="0" xfId="0" applyFont="1" applyFill="1" applyBorder="1"/>
    <xf numFmtId="0" fontId="0" fillId="3" borderId="7" xfId="0" applyFill="1" applyBorder="1" applyAlignment="1">
      <alignment horizontal="center"/>
    </xf>
    <xf numFmtId="0" fontId="0" fillId="3" borderId="7" xfId="0" applyFill="1" applyBorder="1"/>
    <xf numFmtId="0" fontId="0" fillId="9" borderId="17" xfId="0" applyFill="1" applyBorder="1" applyAlignment="1">
      <alignment horizontal="left"/>
    </xf>
    <xf numFmtId="0" fontId="0" fillId="9" borderId="18" xfId="0" applyFill="1" applyBorder="1"/>
    <xf numFmtId="0" fontId="0" fillId="9" borderId="17" xfId="0" applyFill="1" applyBorder="1"/>
    <xf numFmtId="2" fontId="0" fillId="9" borderId="17" xfId="0" applyNumberFormat="1" applyFill="1" applyBorder="1" applyAlignment="1">
      <alignment horizontal="center"/>
    </xf>
    <xf numFmtId="0" fontId="0" fillId="9" borderId="0" xfId="0" applyFill="1" applyBorder="1" applyAlignment="1">
      <alignment horizontal="center"/>
    </xf>
    <xf numFmtId="2" fontId="0" fillId="9" borderId="18" xfId="0" applyNumberFormat="1" applyFill="1" applyBorder="1" applyAlignment="1">
      <alignment horizontal="center"/>
    </xf>
    <xf numFmtId="0" fontId="0" fillId="9" borderId="19" xfId="0" applyFill="1" applyBorder="1"/>
    <xf numFmtId="0" fontId="0" fillId="9" borderId="21" xfId="0" applyFill="1" applyBorder="1"/>
    <xf numFmtId="0" fontId="7" fillId="3" borderId="0" xfId="0" applyFont="1" applyFill="1" applyBorder="1"/>
    <xf numFmtId="0" fontId="6" fillId="11" borderId="0" xfId="0" applyFont="1" applyFill="1" applyBorder="1"/>
    <xf numFmtId="0" fontId="0" fillId="11" borderId="0" xfId="0" applyFill="1" applyBorder="1" applyAlignment="1">
      <alignment horizontal="left"/>
    </xf>
    <xf numFmtId="0" fontId="12" fillId="11" borderId="0" xfId="0" applyFont="1" applyFill="1" applyBorder="1" applyAlignment="1">
      <alignment horizontal="right"/>
    </xf>
    <xf numFmtId="0" fontId="0" fillId="5" borderId="0" xfId="0" applyFill="1" applyAlignment="1">
      <alignment horizontal="center"/>
    </xf>
    <xf numFmtId="0" fontId="0" fillId="5" borderId="26" xfId="0" applyFill="1" applyBorder="1" applyAlignment="1">
      <alignment horizontal="center"/>
    </xf>
    <xf numFmtId="0" fontId="7" fillId="12" borderId="36" xfId="0" applyFont="1" applyFill="1" applyBorder="1"/>
    <xf numFmtId="0" fontId="0" fillId="12" borderId="7" xfId="0" applyFill="1" applyBorder="1"/>
    <xf numFmtId="167" fontId="12" fillId="3" borderId="0" xfId="0" applyNumberFormat="1" applyFont="1" applyFill="1" applyAlignment="1">
      <alignment horizontal="center"/>
    </xf>
    <xf numFmtId="0" fontId="21" fillId="3" borderId="0" xfId="0" applyFont="1" applyFill="1" applyAlignment="1">
      <alignment horizontal="center"/>
    </xf>
    <xf numFmtId="0" fontId="24" fillId="3" borderId="0" xfId="0" applyFont="1" applyFill="1" applyAlignment="1">
      <alignment horizontal="center"/>
    </xf>
    <xf numFmtId="0" fontId="17" fillId="6" borderId="6" xfId="0" applyFont="1" applyFill="1" applyBorder="1"/>
    <xf numFmtId="167" fontId="17" fillId="6" borderId="5" xfId="0" applyNumberFormat="1" applyFont="1" applyFill="1" applyBorder="1"/>
    <xf numFmtId="167" fontId="12" fillId="3" borderId="4" xfId="0" applyNumberFormat="1" applyFont="1" applyFill="1" applyBorder="1" applyAlignment="1">
      <alignment horizontal="center"/>
    </xf>
    <xf numFmtId="0" fontId="15" fillId="3" borderId="4" xfId="0" applyFont="1" applyFill="1" applyBorder="1"/>
    <xf numFmtId="167" fontId="9" fillId="3" borderId="4" xfId="0" applyNumberFormat="1" applyFont="1" applyFill="1" applyBorder="1" applyAlignment="1">
      <alignment horizontal="center"/>
    </xf>
    <xf numFmtId="0" fontId="25" fillId="3" borderId="6" xfId="0" applyFont="1" applyFill="1" applyBorder="1"/>
    <xf numFmtId="167" fontId="25" fillId="3" borderId="4" xfId="0" applyNumberFormat="1" applyFont="1" applyFill="1" applyBorder="1"/>
    <xf numFmtId="0" fontId="16" fillId="3" borderId="0" xfId="0" applyFont="1" applyFill="1"/>
    <xf numFmtId="0" fontId="6" fillId="12" borderId="1" xfId="0" applyFont="1" applyFill="1" applyBorder="1"/>
    <xf numFmtId="0" fontId="6" fillId="3" borderId="0" xfId="0" quotePrefix="1" applyFont="1" applyFill="1"/>
    <xf numFmtId="0" fontId="11" fillId="3" borderId="0" xfId="0" applyFont="1" applyFill="1"/>
    <xf numFmtId="0" fontId="29" fillId="3" borderId="0" xfId="0" applyFont="1" applyFill="1"/>
    <xf numFmtId="0" fontId="0" fillId="8" borderId="0" xfId="0" applyFill="1"/>
    <xf numFmtId="0" fontId="12" fillId="8" borderId="0" xfId="0" applyFont="1" applyFill="1" applyBorder="1" applyAlignment="1">
      <alignment horizontal="left"/>
    </xf>
    <xf numFmtId="0" fontId="0" fillId="11" borderId="19" xfId="0" applyFill="1" applyBorder="1"/>
    <xf numFmtId="0" fontId="0" fillId="11" borderId="20" xfId="0" applyFill="1" applyBorder="1"/>
    <xf numFmtId="0" fontId="0" fillId="11" borderId="21" xfId="0" applyFill="1" applyBorder="1"/>
    <xf numFmtId="0" fontId="0" fillId="3" borderId="18" xfId="0" applyFill="1" applyBorder="1"/>
    <xf numFmtId="0" fontId="38" fillId="4" borderId="26" xfId="0" applyFont="1" applyFill="1" applyBorder="1"/>
    <xf numFmtId="0" fontId="39" fillId="4" borderId="26" xfId="0" applyFont="1" applyFill="1" applyBorder="1"/>
    <xf numFmtId="0" fontId="0" fillId="6" borderId="9" xfId="0" applyFill="1" applyBorder="1" applyAlignment="1">
      <alignment horizontal="center"/>
    </xf>
    <xf numFmtId="166" fontId="0" fillId="6" borderId="9" xfId="0" applyNumberFormat="1" applyFill="1" applyBorder="1" applyAlignment="1">
      <alignment horizontal="center"/>
    </xf>
    <xf numFmtId="0" fontId="1" fillId="6" borderId="9" xfId="0" applyFont="1" applyFill="1" applyBorder="1" applyAlignment="1">
      <alignment horizontal="center"/>
    </xf>
    <xf numFmtId="166" fontId="1" fillId="6" borderId="9" xfId="0" applyNumberFormat="1" applyFont="1" applyFill="1" applyBorder="1" applyAlignment="1">
      <alignment horizontal="center"/>
    </xf>
    <xf numFmtId="0" fontId="0" fillId="8" borderId="0" xfId="0" applyFill="1" applyAlignment="1">
      <alignment horizontal="center"/>
    </xf>
    <xf numFmtId="0" fontId="29" fillId="8" borderId="0" xfId="0" applyFont="1" applyFill="1"/>
    <xf numFmtId="0" fontId="6" fillId="12" borderId="4" xfId="0" applyFont="1" applyFill="1" applyBorder="1"/>
    <xf numFmtId="0" fontId="6" fillId="12" borderId="6" xfId="0" applyFont="1" applyFill="1" applyBorder="1"/>
    <xf numFmtId="0" fontId="0" fillId="4" borderId="36" xfId="0" applyFill="1" applyBorder="1"/>
    <xf numFmtId="0" fontId="6" fillId="4" borderId="7" xfId="0" applyFont="1" applyFill="1" applyBorder="1" applyAlignment="1">
      <alignment horizontal="center"/>
    </xf>
    <xf numFmtId="0" fontId="6" fillId="8" borderId="0" xfId="0" applyFont="1" applyFill="1" applyBorder="1"/>
    <xf numFmtId="167" fontId="6" fillId="8" borderId="0" xfId="0" applyNumberFormat="1" applyFont="1" applyFill="1" applyBorder="1"/>
    <xf numFmtId="2" fontId="6" fillId="8" borderId="17" xfId="0" applyNumberFormat="1" applyFont="1" applyFill="1" applyBorder="1"/>
    <xf numFmtId="168" fontId="6" fillId="8" borderId="0" xfId="0" applyNumberFormat="1" applyFont="1" applyFill="1" applyBorder="1"/>
    <xf numFmtId="168" fontId="6" fillId="8" borderId="17" xfId="0" applyNumberFormat="1" applyFont="1" applyFill="1" applyBorder="1"/>
    <xf numFmtId="168" fontId="6" fillId="13" borderId="17" xfId="0" applyNumberFormat="1" applyFont="1" applyFill="1" applyBorder="1"/>
    <xf numFmtId="168" fontId="6" fillId="13" borderId="0" xfId="0" applyNumberFormat="1" applyFont="1" applyFill="1" applyBorder="1"/>
    <xf numFmtId="168" fontId="6" fillId="6" borderId="17" xfId="0" applyNumberFormat="1" applyFont="1" applyFill="1" applyBorder="1"/>
    <xf numFmtId="168" fontId="6" fillId="6" borderId="0" xfId="0" applyNumberFormat="1" applyFont="1" applyFill="1" applyBorder="1"/>
    <xf numFmtId="0" fontId="11" fillId="6" borderId="0" xfId="0" applyFont="1" applyFill="1" applyBorder="1"/>
    <xf numFmtId="0" fontId="0" fillId="6" borderId="18" xfId="0" applyFill="1" applyBorder="1"/>
    <xf numFmtId="166" fontId="6" fillId="8" borderId="0" xfId="0" applyNumberFormat="1" applyFont="1" applyFill="1" applyBorder="1"/>
    <xf numFmtId="0" fontId="11" fillId="8" borderId="0" xfId="0" applyFont="1" applyFill="1" applyBorder="1"/>
    <xf numFmtId="0" fontId="25" fillId="5" borderId="9" xfId="0" applyFont="1" applyFill="1" applyBorder="1" applyAlignment="1">
      <alignment horizontal="center"/>
    </xf>
    <xf numFmtId="0" fontId="0" fillId="9" borderId="37" xfId="0" applyFill="1" applyBorder="1"/>
    <xf numFmtId="0" fontId="0" fillId="11" borderId="6" xfId="0" applyFill="1" applyBorder="1"/>
    <xf numFmtId="0" fontId="0" fillId="9" borderId="6" xfId="0" applyFill="1" applyBorder="1"/>
    <xf numFmtId="0" fontId="0" fillId="9" borderId="37" xfId="0" applyFill="1" applyBorder="1" applyAlignment="1">
      <alignment horizontal="right"/>
    </xf>
    <xf numFmtId="0" fontId="0" fillId="9" borderId="38" xfId="0" applyFill="1" applyBorder="1" applyAlignment="1">
      <alignment horizontal="center"/>
    </xf>
    <xf numFmtId="0" fontId="0" fillId="11" borderId="39" xfId="0" applyFill="1" applyBorder="1" applyAlignment="1">
      <alignment horizontal="center"/>
    </xf>
    <xf numFmtId="0" fontId="0" fillId="9" borderId="39" xfId="0" applyFill="1" applyBorder="1" applyAlignment="1">
      <alignment horizontal="center"/>
    </xf>
    <xf numFmtId="0" fontId="5" fillId="12" borderId="4" xfId="0" applyFont="1" applyFill="1" applyBorder="1"/>
    <xf numFmtId="168" fontId="0" fillId="9" borderId="29" xfId="0" applyNumberFormat="1" applyFill="1" applyBorder="1"/>
    <xf numFmtId="168" fontId="0" fillId="9" borderId="5" xfId="0" applyNumberFormat="1" applyFill="1" applyBorder="1" applyAlignment="1">
      <alignment horizontal="right"/>
    </xf>
    <xf numFmtId="168" fontId="0" fillId="11" borderId="5" xfId="0" applyNumberFormat="1" applyFill="1" applyBorder="1" applyAlignment="1">
      <alignment horizontal="right"/>
    </xf>
    <xf numFmtId="168" fontId="0" fillId="11" borderId="9" xfId="0" applyNumberFormat="1" applyFill="1" applyBorder="1" applyAlignment="1">
      <alignment horizontal="center"/>
    </xf>
    <xf numFmtId="168" fontId="0" fillId="9" borderId="40" xfId="0" applyNumberFormat="1" applyFill="1" applyBorder="1" applyAlignment="1">
      <alignment horizontal="center"/>
    </xf>
    <xf numFmtId="168" fontId="0" fillId="9" borderId="9" xfId="0" applyNumberFormat="1" applyFill="1" applyBorder="1" applyAlignment="1">
      <alignment horizontal="center"/>
    </xf>
    <xf numFmtId="0" fontId="1" fillId="0" borderId="36" xfId="0" applyFont="1" applyFill="1" applyBorder="1" applyAlignment="1">
      <alignment horizontal="center"/>
    </xf>
    <xf numFmtId="0" fontId="1" fillId="0" borderId="9" xfId="0" applyFont="1" applyFill="1" applyBorder="1" applyAlignment="1">
      <alignment horizontal="center"/>
    </xf>
    <xf numFmtId="0" fontId="0" fillId="11" borderId="41" xfId="0" applyFill="1" applyBorder="1" applyAlignment="1">
      <alignment horizontal="center"/>
    </xf>
    <xf numFmtId="168" fontId="1" fillId="11" borderId="11" xfId="0" applyNumberFormat="1" applyFont="1" applyFill="1" applyBorder="1" applyAlignment="1">
      <alignment horizontal="center"/>
    </xf>
    <xf numFmtId="168" fontId="1" fillId="11" borderId="0" xfId="0" applyNumberFormat="1" applyFont="1" applyFill="1" applyBorder="1" applyAlignment="1">
      <alignment horizontal="right"/>
    </xf>
    <xf numFmtId="0" fontId="0" fillId="11" borderId="42" xfId="0" applyFill="1" applyBorder="1"/>
    <xf numFmtId="168" fontId="0" fillId="6" borderId="4" xfId="0" applyNumberFormat="1" applyFill="1" applyBorder="1"/>
    <xf numFmtId="0" fontId="25" fillId="5" borderId="4" xfId="0" applyFont="1" applyFill="1" applyBorder="1"/>
    <xf numFmtId="0" fontId="25" fillId="5" borderId="6" xfId="0" applyFont="1" applyFill="1" applyBorder="1"/>
    <xf numFmtId="0" fontId="25" fillId="9" borderId="26" xfId="0" applyFont="1" applyFill="1" applyBorder="1" applyAlignment="1">
      <alignment horizontal="left"/>
    </xf>
    <xf numFmtId="0" fontId="34" fillId="8" borderId="0" xfId="0" applyFont="1" applyFill="1" applyBorder="1"/>
    <xf numFmtId="0" fontId="0" fillId="8" borderId="43" xfId="0" applyFill="1" applyBorder="1"/>
    <xf numFmtId="0" fontId="0" fillId="4" borderId="35" xfId="0" applyFill="1" applyBorder="1"/>
    <xf numFmtId="0" fontId="0" fillId="14" borderId="14" xfId="0" applyFill="1" applyBorder="1"/>
    <xf numFmtId="0" fontId="0" fillId="14" borderId="15" xfId="0" applyFill="1" applyBorder="1"/>
    <xf numFmtId="0" fontId="0" fillId="14" borderId="16" xfId="0" applyFill="1" applyBorder="1"/>
    <xf numFmtId="0" fontId="0" fillId="14" borderId="17" xfId="0" applyFill="1" applyBorder="1"/>
    <xf numFmtId="0" fontId="6" fillId="14" borderId="0" xfId="0" applyFont="1" applyFill="1" applyBorder="1"/>
    <xf numFmtId="0" fontId="0" fillId="14" borderId="0" xfId="0" applyFill="1" applyBorder="1"/>
    <xf numFmtId="0" fontId="0" fillId="14" borderId="19" xfId="0" applyFill="1" applyBorder="1"/>
    <xf numFmtId="0" fontId="0" fillId="14" borderId="20" xfId="0" applyFill="1" applyBorder="1"/>
    <xf numFmtId="0" fontId="0" fillId="14" borderId="21" xfId="0" applyFill="1" applyBorder="1"/>
    <xf numFmtId="168" fontId="0" fillId="9" borderId="0" xfId="0" applyNumberFormat="1" applyFill="1" applyBorder="1"/>
    <xf numFmtId="168" fontId="0" fillId="11" borderId="0" xfId="0" applyNumberFormat="1" applyFill="1" applyBorder="1"/>
    <xf numFmtId="168" fontId="1" fillId="9" borderId="26" xfId="0" applyNumberFormat="1" applyFont="1" applyFill="1" applyBorder="1" applyAlignment="1">
      <alignment horizontal="right"/>
    </xf>
    <xf numFmtId="0" fontId="1" fillId="9" borderId="26" xfId="0" applyFont="1" applyFill="1" applyBorder="1"/>
    <xf numFmtId="0" fontId="0" fillId="6" borderId="32" xfId="0" applyFill="1" applyBorder="1"/>
    <xf numFmtId="0" fontId="0" fillId="14" borderId="28" xfId="0" applyFill="1" applyBorder="1" applyAlignment="1">
      <alignment horizontal="center"/>
    </xf>
    <xf numFmtId="0" fontId="0" fillId="14" borderId="13" xfId="0" applyFill="1" applyBorder="1"/>
    <xf numFmtId="0" fontId="0" fillId="14" borderId="22" xfId="0" applyFill="1" applyBorder="1"/>
    <xf numFmtId="0" fontId="0" fillId="14" borderId="23" xfId="0" applyFill="1" applyBorder="1"/>
    <xf numFmtId="0" fontId="6" fillId="14" borderId="0" xfId="0" applyFont="1" applyFill="1" applyBorder="1" applyAlignment="1">
      <alignment horizontal="left"/>
    </xf>
    <xf numFmtId="0" fontId="0" fillId="14" borderId="24" xfId="0" applyFill="1" applyBorder="1"/>
    <xf numFmtId="0" fontId="0" fillId="14" borderId="25" xfId="0" applyFill="1" applyBorder="1"/>
    <xf numFmtId="0" fontId="0" fillId="14" borderId="26" xfId="0" applyFill="1" applyBorder="1"/>
    <xf numFmtId="0" fontId="0" fillId="14" borderId="27" xfId="0" applyFill="1" applyBorder="1"/>
    <xf numFmtId="0" fontId="0" fillId="6" borderId="5" xfId="0" applyFill="1" applyBorder="1"/>
    <xf numFmtId="0" fontId="0" fillId="14" borderId="26" xfId="0" applyFill="1" applyBorder="1" applyAlignment="1">
      <alignment horizontal="left" indent="1"/>
    </xf>
    <xf numFmtId="0" fontId="1" fillId="0" borderId="1" xfId="0" applyFont="1" applyFill="1" applyBorder="1" applyAlignment="1">
      <alignment horizontal="left" indent="2"/>
    </xf>
    <xf numFmtId="168" fontId="0" fillId="11" borderId="17" xfId="0" applyNumberFormat="1" applyFill="1" applyBorder="1"/>
    <xf numFmtId="168" fontId="0" fillId="11" borderId="19" xfId="0" applyNumberFormat="1" applyFill="1" applyBorder="1"/>
    <xf numFmtId="0" fontId="0" fillId="11" borderId="14" xfId="0" applyFill="1" applyBorder="1"/>
    <xf numFmtId="1" fontId="25" fillId="5" borderId="4" xfId="0" applyNumberFormat="1" applyFont="1" applyFill="1" applyBorder="1"/>
    <xf numFmtId="168" fontId="0" fillId="15" borderId="17" xfId="0" applyNumberFormat="1" applyFill="1" applyBorder="1"/>
    <xf numFmtId="0" fontId="0" fillId="15" borderId="18" xfId="0" applyFill="1" applyBorder="1"/>
    <xf numFmtId="0" fontId="9" fillId="11" borderId="17" xfId="0" applyFont="1" applyFill="1" applyBorder="1"/>
    <xf numFmtId="0" fontId="9" fillId="11" borderId="18" xfId="0" applyFont="1" applyFill="1" applyBorder="1"/>
    <xf numFmtId="0" fontId="12" fillId="11" borderId="0" xfId="0" applyFont="1" applyFill="1" applyBorder="1"/>
    <xf numFmtId="2" fontId="1" fillId="6" borderId="9" xfId="0" applyNumberFormat="1" applyFont="1" applyFill="1" applyBorder="1" applyAlignment="1">
      <alignment horizontal="center"/>
    </xf>
    <xf numFmtId="2" fontId="0" fillId="6" borderId="9" xfId="0" applyNumberFormat="1" applyFill="1" applyBorder="1" applyAlignment="1">
      <alignment horizontal="center"/>
    </xf>
    <xf numFmtId="0" fontId="0" fillId="15" borderId="15" xfId="0" applyFill="1" applyBorder="1"/>
    <xf numFmtId="0" fontId="0" fillId="15" borderId="17" xfId="0" applyFill="1" applyBorder="1"/>
    <xf numFmtId="0" fontId="0" fillId="15" borderId="0" xfId="0" applyFill="1" applyBorder="1"/>
    <xf numFmtId="0" fontId="25" fillId="15" borderId="0" xfId="0" applyFont="1" applyFill="1" applyBorder="1" applyAlignment="1">
      <alignment horizontal="center"/>
    </xf>
    <xf numFmtId="0" fontId="0" fillId="15" borderId="0" xfId="0" applyFill="1" applyBorder="1" applyAlignment="1">
      <alignment horizontal="center"/>
    </xf>
    <xf numFmtId="0" fontId="0" fillId="15" borderId="0" xfId="0" applyFill="1" applyBorder="1" applyAlignment="1">
      <alignment horizontal="right"/>
    </xf>
    <xf numFmtId="173" fontId="25" fillId="15" borderId="0" xfId="0" applyNumberFormat="1" applyFont="1" applyFill="1" applyBorder="1" applyAlignment="1">
      <alignment horizontal="center"/>
    </xf>
    <xf numFmtId="0" fontId="25" fillId="15" borderId="0" xfId="0" applyFont="1" applyFill="1" applyBorder="1"/>
    <xf numFmtId="2" fontId="1" fillId="15" borderId="20" xfId="0" applyNumberFormat="1" applyFont="1" applyFill="1" applyBorder="1" applyAlignment="1">
      <alignment horizontal="center"/>
    </xf>
    <xf numFmtId="0" fontId="0" fillId="15" borderId="19" xfId="0" applyFill="1" applyBorder="1"/>
    <xf numFmtId="0" fontId="0" fillId="15" borderId="20" xfId="0" applyFill="1" applyBorder="1"/>
    <xf numFmtId="0" fontId="0" fillId="15" borderId="21" xfId="0" applyFill="1" applyBorder="1"/>
    <xf numFmtId="2" fontId="1" fillId="11" borderId="0" xfId="0" applyNumberFormat="1" applyFont="1" applyFill="1" applyBorder="1" applyAlignment="1">
      <alignment horizontal="center"/>
    </xf>
    <xf numFmtId="2" fontId="25" fillId="5" borderId="9" xfId="0" applyNumberFormat="1" applyFont="1" applyFill="1" applyBorder="1" applyAlignment="1">
      <alignment horizontal="center"/>
    </xf>
    <xf numFmtId="0" fontId="25" fillId="5" borderId="9" xfId="0" applyFont="1" applyFill="1" applyBorder="1"/>
    <xf numFmtId="168" fontId="25" fillId="5" borderId="9" xfId="0" applyNumberFormat="1" applyFont="1" applyFill="1" applyBorder="1"/>
    <xf numFmtId="0" fontId="29" fillId="6" borderId="9" xfId="0" applyFont="1" applyFill="1" applyBorder="1" applyAlignment="1">
      <alignment horizontal="center"/>
    </xf>
    <xf numFmtId="166" fontId="29" fillId="6" borderId="9" xfId="0" applyNumberFormat="1" applyFont="1" applyFill="1" applyBorder="1" applyAlignment="1">
      <alignment horizontal="center"/>
    </xf>
    <xf numFmtId="168" fontId="0" fillId="4" borderId="9" xfId="0" applyNumberFormat="1" applyFill="1" applyBorder="1" applyAlignment="1">
      <alignment horizontal="center"/>
    </xf>
    <xf numFmtId="0" fontId="26" fillId="15" borderId="0" xfId="0" applyFont="1" applyFill="1" applyBorder="1"/>
    <xf numFmtId="0" fontId="0" fillId="15" borderId="0" xfId="0" quotePrefix="1" applyFill="1" applyBorder="1"/>
    <xf numFmtId="0" fontId="13" fillId="15" borderId="0" xfId="0" quotePrefix="1" applyFont="1" applyFill="1" applyBorder="1"/>
    <xf numFmtId="168" fontId="0" fillId="15" borderId="0" xfId="0" applyNumberFormat="1" applyFill="1" applyBorder="1"/>
    <xf numFmtId="0" fontId="6" fillId="15" borderId="14" xfId="0" applyFont="1" applyFill="1" applyBorder="1"/>
    <xf numFmtId="0" fontId="13" fillId="15" borderId="0" xfId="0" applyFont="1" applyFill="1" applyBorder="1"/>
    <xf numFmtId="0" fontId="17" fillId="15" borderId="0" xfId="0" applyFont="1" applyFill="1" applyBorder="1"/>
    <xf numFmtId="2" fontId="0" fillId="4" borderId="9" xfId="0" applyNumberFormat="1" applyFill="1" applyBorder="1" applyAlignment="1">
      <alignment horizontal="center"/>
    </xf>
    <xf numFmtId="0" fontId="6" fillId="14" borderId="14" xfId="0" applyFont="1" applyFill="1" applyBorder="1"/>
    <xf numFmtId="0" fontId="0" fillId="14" borderId="18" xfId="0" applyFill="1" applyBorder="1"/>
    <xf numFmtId="0" fontId="0" fillId="14" borderId="0" xfId="0" applyFill="1" applyBorder="1" applyAlignment="1">
      <alignment horizontal="center"/>
    </xf>
    <xf numFmtId="0" fontId="6" fillId="11" borderId="14" xfId="0" applyFont="1" applyFill="1" applyBorder="1"/>
    <xf numFmtId="0" fontId="26" fillId="11" borderId="0" xfId="0" applyFont="1" applyFill="1" applyBorder="1"/>
    <xf numFmtId="0" fontId="0" fillId="11" borderId="0" xfId="0" quotePrefix="1" applyFill="1" applyBorder="1"/>
    <xf numFmtId="0" fontId="13" fillId="11" borderId="0" xfId="0" quotePrefix="1" applyFont="1" applyFill="1" applyBorder="1"/>
    <xf numFmtId="0" fontId="13" fillId="11" borderId="0" xfId="0" applyFont="1" applyFill="1" applyBorder="1"/>
    <xf numFmtId="0" fontId="17" fillId="11" borderId="0" xfId="0" applyFont="1" applyFill="1" applyBorder="1"/>
    <xf numFmtId="168" fontId="1" fillId="11" borderId="0" xfId="0" applyNumberFormat="1" applyFont="1" applyFill="1" applyBorder="1"/>
    <xf numFmtId="0" fontId="0" fillId="5" borderId="6" xfId="0" applyFill="1" applyBorder="1"/>
    <xf numFmtId="0" fontId="6" fillId="14" borderId="15" xfId="0" applyFont="1" applyFill="1" applyBorder="1"/>
    <xf numFmtId="168" fontId="25" fillId="5" borderId="4" xfId="0" applyNumberFormat="1" applyFont="1" applyFill="1" applyBorder="1"/>
    <xf numFmtId="0" fontId="0" fillId="6" borderId="6" xfId="0" applyFill="1" applyBorder="1" applyAlignment="1">
      <alignment horizontal="center"/>
    </xf>
    <xf numFmtId="0" fontId="1" fillId="6" borderId="6" xfId="0" applyFont="1" applyFill="1" applyBorder="1" applyAlignment="1">
      <alignment horizontal="center"/>
    </xf>
    <xf numFmtId="0" fontId="0" fillId="13" borderId="6" xfId="0" applyFill="1" applyBorder="1" applyAlignment="1">
      <alignment horizontal="center"/>
    </xf>
    <xf numFmtId="1" fontId="17" fillId="13" borderId="4" xfId="0" applyNumberFormat="1" applyFont="1" applyFill="1" applyBorder="1"/>
    <xf numFmtId="0" fontId="26" fillId="14" borderId="0" xfId="0" applyFont="1" applyFill="1" applyBorder="1"/>
    <xf numFmtId="1" fontId="17" fillId="6" borderId="9" xfId="0" applyNumberFormat="1" applyFont="1" applyFill="1" applyBorder="1" applyAlignment="1">
      <alignment horizontal="center"/>
    </xf>
    <xf numFmtId="167" fontId="0" fillId="6" borderId="5" xfId="0" applyNumberFormat="1" applyFill="1" applyBorder="1" applyAlignment="1">
      <alignment horizontal="center"/>
    </xf>
    <xf numFmtId="0" fontId="0" fillId="11" borderId="5" xfId="0" applyFill="1" applyBorder="1" applyAlignment="1">
      <alignment horizontal="left"/>
    </xf>
    <xf numFmtId="0" fontId="6" fillId="5" borderId="28" xfId="0" applyFont="1" applyFill="1" applyBorder="1"/>
    <xf numFmtId="0" fontId="47" fillId="4" borderId="36" xfId="0" applyFont="1" applyFill="1" applyBorder="1"/>
    <xf numFmtId="0" fontId="9" fillId="5" borderId="12" xfId="0" applyFont="1" applyFill="1" applyBorder="1" applyAlignment="1">
      <alignment horizontal="center"/>
    </xf>
    <xf numFmtId="3" fontId="9" fillId="5" borderId="9" xfId="0" applyNumberFormat="1" applyFont="1" applyFill="1" applyBorder="1" applyAlignment="1">
      <alignment horizontal="center"/>
    </xf>
    <xf numFmtId="0" fontId="9" fillId="5" borderId="9" xfId="0" applyFont="1" applyFill="1" applyBorder="1" applyAlignment="1">
      <alignment horizontal="center"/>
    </xf>
    <xf numFmtId="168" fontId="8" fillId="5" borderId="9" xfId="0" applyNumberFormat="1" applyFont="1" applyFill="1" applyBorder="1" applyAlignment="1">
      <alignment horizontal="center"/>
    </xf>
    <xf numFmtId="0" fontId="8" fillId="5" borderId="1" xfId="0" applyFont="1" applyFill="1" applyBorder="1" applyAlignment="1">
      <alignment horizontal="center"/>
    </xf>
    <xf numFmtId="0" fontId="0" fillId="4" borderId="0" xfId="0" applyFill="1" applyBorder="1"/>
    <xf numFmtId="0" fontId="17" fillId="6" borderId="4" xfId="0" applyFont="1" applyFill="1" applyBorder="1"/>
    <xf numFmtId="0" fontId="1" fillId="5" borderId="26" xfId="0" applyFont="1" applyFill="1" applyBorder="1" applyAlignment="1">
      <alignment horizontal="center"/>
    </xf>
    <xf numFmtId="0" fontId="17" fillId="6" borderId="9" xfId="0" applyFont="1" applyFill="1" applyBorder="1" applyAlignment="1">
      <alignment horizontal="center"/>
    </xf>
    <xf numFmtId="0" fontId="12" fillId="11" borderId="17" xfId="0" applyFont="1" applyFill="1" applyBorder="1"/>
    <xf numFmtId="0" fontId="5" fillId="4" borderId="0" xfId="0" applyFont="1" applyFill="1"/>
    <xf numFmtId="0" fontId="0" fillId="8" borderId="17" xfId="0" applyFill="1" applyBorder="1" applyAlignment="1">
      <alignment horizontal="center"/>
    </xf>
    <xf numFmtId="0" fontId="0" fillId="6" borderId="1" xfId="0" applyFill="1" applyBorder="1" applyAlignment="1">
      <alignment horizontal="center"/>
    </xf>
    <xf numFmtId="2" fontId="0" fillId="11" borderId="4" xfId="0" applyNumberFormat="1" applyFill="1" applyBorder="1"/>
    <xf numFmtId="0" fontId="0" fillId="4" borderId="44" xfId="0" applyFill="1" applyBorder="1"/>
    <xf numFmtId="0" fontId="6" fillId="8" borderId="0" xfId="0" applyFont="1" applyFill="1"/>
    <xf numFmtId="0" fontId="0" fillId="15" borderId="9" xfId="0" applyFill="1" applyBorder="1" applyAlignment="1">
      <alignment wrapText="1"/>
    </xf>
    <xf numFmtId="0" fontId="0" fillId="11" borderId="9" xfId="0" applyFill="1" applyBorder="1" applyAlignment="1">
      <alignment wrapText="1"/>
    </xf>
    <xf numFmtId="0" fontId="0" fillId="15" borderId="12" xfId="0" applyFill="1" applyBorder="1" applyAlignment="1">
      <alignment wrapText="1"/>
    </xf>
    <xf numFmtId="0" fontId="0" fillId="11" borderId="2" xfId="0" applyFill="1" applyBorder="1" applyAlignment="1">
      <alignment horizontal="center"/>
    </xf>
    <xf numFmtId="0" fontId="0" fillId="11" borderId="3" xfId="0" applyFill="1" applyBorder="1"/>
    <xf numFmtId="0" fontId="0" fillId="4" borderId="26" xfId="0" applyFill="1" applyBorder="1" applyAlignment="1">
      <alignment horizontal="center"/>
    </xf>
    <xf numFmtId="168" fontId="1" fillId="9" borderId="17" xfId="0" applyNumberFormat="1" applyFont="1" applyFill="1" applyBorder="1"/>
    <xf numFmtId="168" fontId="0" fillId="6" borderId="9" xfId="0" applyNumberFormat="1" applyFill="1" applyBorder="1" applyAlignment="1">
      <alignment horizontal="center"/>
    </xf>
    <xf numFmtId="0" fontId="0" fillId="12" borderId="17" xfId="0" applyFill="1" applyBorder="1"/>
    <xf numFmtId="0" fontId="0" fillId="3" borderId="17" xfId="0" applyFill="1" applyBorder="1"/>
    <xf numFmtId="0" fontId="0" fillId="10" borderId="5" xfId="0" applyFill="1" applyBorder="1" applyAlignment="1">
      <alignment horizontal="center"/>
    </xf>
    <xf numFmtId="168" fontId="0" fillId="3" borderId="0" xfId="0" applyNumberFormat="1" applyFill="1" applyBorder="1" applyAlignment="1">
      <alignment horizontal="center"/>
    </xf>
    <xf numFmtId="0" fontId="0" fillId="10" borderId="9" xfId="0" applyFill="1" applyBorder="1" applyAlignment="1">
      <alignment horizontal="center"/>
    </xf>
    <xf numFmtId="0" fontId="6" fillId="4" borderId="4" xfId="0" applyFont="1" applyFill="1" applyBorder="1"/>
    <xf numFmtId="0" fontId="6" fillId="4" borderId="5" xfId="0" applyFont="1" applyFill="1" applyBorder="1"/>
    <xf numFmtId="0" fontId="0" fillId="4" borderId="6" xfId="0" applyFill="1" applyBorder="1"/>
    <xf numFmtId="0" fontId="0" fillId="4" borderId="5" xfId="0" applyFill="1" applyBorder="1"/>
    <xf numFmtId="173" fontId="29" fillId="6" borderId="12" xfId="0" applyNumberFormat="1" applyFont="1" applyFill="1" applyBorder="1" applyAlignment="1">
      <alignment horizontal="center"/>
    </xf>
    <xf numFmtId="0" fontId="1" fillId="3" borderId="4" xfId="0" applyFont="1" applyFill="1" applyBorder="1"/>
    <xf numFmtId="0" fontId="1" fillId="3" borderId="5" xfId="0" applyFont="1" applyFill="1" applyBorder="1"/>
    <xf numFmtId="168" fontId="29" fillId="4" borderId="9" xfId="0" applyNumberFormat="1" applyFont="1" applyFill="1" applyBorder="1" applyAlignment="1">
      <alignment horizontal="center"/>
    </xf>
    <xf numFmtId="170" fontId="12" fillId="14" borderId="9" xfId="0" applyNumberFormat="1" applyFont="1" applyFill="1" applyBorder="1" applyAlignment="1">
      <alignment horizontal="center"/>
    </xf>
    <xf numFmtId="0" fontId="16" fillId="4" borderId="9" xfId="0" applyFont="1" applyFill="1" applyBorder="1" applyAlignment="1">
      <alignment horizontal="center"/>
    </xf>
    <xf numFmtId="0" fontId="0" fillId="0" borderId="0" xfId="0" applyBorder="1"/>
    <xf numFmtId="0" fontId="0" fillId="11" borderId="0" xfId="0" applyFill="1"/>
    <xf numFmtId="0" fontId="0" fillId="4" borderId="4" xfId="0" applyFill="1" applyBorder="1"/>
    <xf numFmtId="0" fontId="33" fillId="11" borderId="0" xfId="0" applyFont="1" applyFill="1"/>
    <xf numFmtId="0" fontId="36" fillId="11" borderId="0" xfId="0" applyFont="1" applyFill="1" applyBorder="1" applyAlignment="1">
      <alignment horizontal="center"/>
    </xf>
    <xf numFmtId="0" fontId="12" fillId="11" borderId="0" xfId="0" applyFont="1" applyFill="1" applyBorder="1" applyAlignment="1">
      <alignment horizontal="left"/>
    </xf>
    <xf numFmtId="0" fontId="0" fillId="9" borderId="0" xfId="0" applyFill="1" applyAlignment="1">
      <alignment horizontal="right"/>
    </xf>
    <xf numFmtId="0" fontId="0" fillId="9" borderId="0" xfId="0" applyFill="1" applyAlignment="1">
      <alignment horizontal="center"/>
    </xf>
    <xf numFmtId="0" fontId="12" fillId="9" borderId="0" xfId="0" applyFont="1" applyFill="1" applyAlignment="1">
      <alignment horizontal="left"/>
    </xf>
    <xf numFmtId="168" fontId="12" fillId="9" borderId="0" xfId="0" applyNumberFormat="1" applyFont="1" applyFill="1" applyBorder="1"/>
    <xf numFmtId="168" fontId="12" fillId="9" borderId="0" xfId="0" applyNumberFormat="1" applyFont="1" applyFill="1"/>
    <xf numFmtId="168" fontId="0" fillId="9" borderId="0" xfId="0" applyNumberFormat="1" applyFill="1"/>
    <xf numFmtId="0" fontId="12" fillId="9" borderId="0" xfId="0" applyFont="1" applyFill="1"/>
    <xf numFmtId="168" fontId="9" fillId="9" borderId="0" xfId="0" applyNumberFormat="1" applyFont="1" applyFill="1"/>
    <xf numFmtId="1" fontId="0" fillId="9" borderId="0" xfId="0" applyNumberFormat="1" applyFill="1"/>
    <xf numFmtId="168" fontId="29" fillId="9" borderId="0" xfId="0" applyNumberFormat="1" applyFont="1" applyFill="1" applyBorder="1"/>
    <xf numFmtId="168" fontId="36" fillId="9" borderId="0" xfId="0" applyNumberFormat="1" applyFont="1" applyFill="1" applyBorder="1" applyAlignment="1">
      <alignment horizontal="center"/>
    </xf>
    <xf numFmtId="0" fontId="12" fillId="9" borderId="0" xfId="0" applyNumberFormat="1" applyFont="1" applyFill="1" applyAlignment="1">
      <alignment horizontal="center"/>
    </xf>
    <xf numFmtId="0" fontId="12" fillId="9" borderId="0" xfId="0" applyNumberFormat="1" applyFont="1" applyFill="1"/>
    <xf numFmtId="0" fontId="0" fillId="12" borderId="4" xfId="0" applyFill="1" applyBorder="1" applyAlignment="1">
      <alignment horizontal="center"/>
    </xf>
    <xf numFmtId="0" fontId="0" fillId="12" borderId="5" xfId="0" applyFill="1" applyBorder="1" applyAlignment="1">
      <alignment horizontal="center"/>
    </xf>
    <xf numFmtId="0" fontId="0" fillId="12" borderId="6" xfId="0" applyFill="1" applyBorder="1" applyAlignment="1">
      <alignment horizontal="center"/>
    </xf>
    <xf numFmtId="168" fontId="0" fillId="9" borderId="0" xfId="0" applyNumberFormat="1" applyFill="1" applyAlignment="1">
      <alignment horizontal="center"/>
    </xf>
    <xf numFmtId="3" fontId="9" fillId="9" borderId="0" xfId="0" applyNumberFormat="1" applyFont="1" applyFill="1" applyBorder="1" applyAlignment="1">
      <alignment horizontal="center"/>
    </xf>
    <xf numFmtId="168" fontId="0" fillId="9" borderId="0" xfId="0" applyNumberFormat="1" applyFill="1" applyBorder="1" applyAlignment="1">
      <alignment horizontal="center"/>
    </xf>
    <xf numFmtId="0" fontId="22" fillId="5" borderId="0" xfId="0" applyFont="1" applyFill="1"/>
    <xf numFmtId="3" fontId="9" fillId="9" borderId="0" xfId="0" applyNumberFormat="1" applyFont="1" applyFill="1" applyBorder="1"/>
    <xf numFmtId="168" fontId="17" fillId="9" borderId="0" xfId="0" applyNumberFormat="1" applyFont="1" applyFill="1" applyBorder="1" applyAlignment="1">
      <alignment horizontal="center"/>
    </xf>
    <xf numFmtId="0" fontId="0" fillId="5" borderId="4" xfId="0" applyFill="1" applyBorder="1"/>
    <xf numFmtId="168" fontId="36" fillId="14" borderId="10" xfId="0" applyNumberFormat="1" applyFont="1" applyFill="1" applyBorder="1" applyAlignment="1">
      <alignment horizontal="center"/>
    </xf>
    <xf numFmtId="0" fontId="0" fillId="14" borderId="6" xfId="0" applyFill="1" applyBorder="1" applyAlignment="1">
      <alignment horizontal="center"/>
    </xf>
    <xf numFmtId="0" fontId="36" fillId="14" borderId="4" xfId="0" applyFont="1" applyFill="1" applyBorder="1" applyAlignment="1">
      <alignment horizontal="left"/>
    </xf>
    <xf numFmtId="0" fontId="1" fillId="11" borderId="0" xfId="0" applyFont="1" applyFill="1"/>
    <xf numFmtId="168" fontId="29" fillId="9" borderId="0" xfId="0" applyNumberFormat="1" applyFont="1" applyFill="1" applyBorder="1" applyAlignment="1">
      <alignment horizontal="center"/>
    </xf>
    <xf numFmtId="170" fontId="12" fillId="9" borderId="0" xfId="0" applyNumberFormat="1" applyFont="1" applyFill="1" applyBorder="1" applyAlignment="1">
      <alignment horizontal="center"/>
    </xf>
    <xf numFmtId="168" fontId="12" fillId="9" borderId="0" xfId="0" applyNumberFormat="1" applyFont="1" applyFill="1" applyAlignment="1">
      <alignment horizontal="center"/>
    </xf>
    <xf numFmtId="0" fontId="12" fillId="9" borderId="0" xfId="0" applyFont="1" applyFill="1" applyBorder="1" applyAlignment="1">
      <alignment horizontal="center"/>
    </xf>
    <xf numFmtId="0" fontId="6" fillId="3" borderId="0" xfId="0" applyFont="1" applyFill="1" applyBorder="1"/>
    <xf numFmtId="0" fontId="0" fillId="14" borderId="6" xfId="0" applyFill="1" applyBorder="1"/>
    <xf numFmtId="0" fontId="1" fillId="3" borderId="0" xfId="0" applyFont="1" applyFill="1" applyBorder="1"/>
    <xf numFmtId="0" fontId="29" fillId="3" borderId="0" xfId="0" applyFont="1" applyFill="1" applyBorder="1"/>
    <xf numFmtId="0" fontId="9" fillId="5" borderId="4" xfId="0" applyFont="1" applyFill="1" applyBorder="1"/>
    <xf numFmtId="14" fontId="0" fillId="5" borderId="32" xfId="0" applyNumberFormat="1" applyFill="1" applyBorder="1" applyAlignment="1">
      <alignment horizontal="left"/>
    </xf>
    <xf numFmtId="0" fontId="6" fillId="5" borderId="6" xfId="0" quotePrefix="1" applyFont="1" applyFill="1" applyBorder="1"/>
    <xf numFmtId="2" fontId="0" fillId="6" borderId="4" xfId="0" applyNumberFormat="1" applyFill="1" applyBorder="1" applyAlignment="1">
      <alignment horizontal="center"/>
    </xf>
    <xf numFmtId="181" fontId="0" fillId="6" borderId="9" xfId="0" applyNumberFormat="1" applyFill="1" applyBorder="1" applyAlignment="1">
      <alignment horizontal="center"/>
    </xf>
    <xf numFmtId="181" fontId="0" fillId="6" borderId="9" xfId="4" applyNumberFormat="1" applyFont="1" applyFill="1" applyBorder="1" applyAlignment="1">
      <alignment horizontal="center"/>
    </xf>
    <xf numFmtId="2" fontId="17" fillId="6" borderId="4" xfId="0" applyNumberFormat="1" applyFont="1" applyFill="1" applyBorder="1" applyAlignment="1">
      <alignment horizontal="center"/>
    </xf>
    <xf numFmtId="0" fontId="29" fillId="3" borderId="0" xfId="0" applyFont="1" applyFill="1" applyBorder="1" applyAlignment="1">
      <alignment horizontal="center"/>
    </xf>
    <xf numFmtId="20" fontId="0" fillId="3" borderId="0" xfId="0" applyNumberFormat="1" applyFill="1" applyAlignment="1">
      <alignment horizontal="right"/>
    </xf>
    <xf numFmtId="0" fontId="1" fillId="3" borderId="0" xfId="0" applyFont="1" applyFill="1"/>
    <xf numFmtId="0" fontId="50" fillId="3" borderId="0" xfId="0" applyFont="1" applyFill="1"/>
    <xf numFmtId="168" fontId="25" fillId="5" borderId="4" xfId="0" applyNumberFormat="1" applyFont="1" applyFill="1" applyBorder="1" applyAlignment="1">
      <alignment horizontal="center"/>
    </xf>
    <xf numFmtId="168" fontId="25" fillId="5" borderId="4" xfId="0" applyNumberFormat="1" applyFont="1" applyFill="1" applyBorder="1" applyAlignment="1">
      <alignment horizontal="right"/>
    </xf>
    <xf numFmtId="174" fontId="25" fillId="5" borderId="9" xfId="0" applyNumberFormat="1" applyFont="1" applyFill="1" applyBorder="1" applyAlignment="1">
      <alignment horizontal="center"/>
    </xf>
    <xf numFmtId="0" fontId="12" fillId="11" borderId="4" xfId="0" applyFont="1" applyFill="1" applyBorder="1"/>
    <xf numFmtId="0" fontId="12" fillId="11" borderId="5" xfId="0" applyFont="1" applyFill="1" applyBorder="1"/>
    <xf numFmtId="0" fontId="41" fillId="4" borderId="28" xfId="0" applyFont="1" applyFill="1" applyBorder="1"/>
    <xf numFmtId="0" fontId="41" fillId="4" borderId="13" xfId="0" applyFont="1" applyFill="1" applyBorder="1"/>
    <xf numFmtId="0" fontId="42" fillId="4" borderId="13" xfId="0" applyFont="1" applyFill="1" applyBorder="1"/>
    <xf numFmtId="0" fontId="41" fillId="4" borderId="22" xfId="0" applyFont="1" applyFill="1" applyBorder="1"/>
    <xf numFmtId="0" fontId="34" fillId="4" borderId="23" xfId="0" applyFont="1" applyFill="1" applyBorder="1"/>
    <xf numFmtId="0" fontId="16" fillId="4" borderId="0" xfId="0" applyFont="1" applyFill="1" applyBorder="1"/>
    <xf numFmtId="0" fontId="0" fillId="4" borderId="24" xfId="0" applyFill="1" applyBorder="1"/>
    <xf numFmtId="0" fontId="5" fillId="4" borderId="25" xfId="0" applyFont="1" applyFill="1" applyBorder="1"/>
    <xf numFmtId="0" fontId="30" fillId="4" borderId="26" xfId="0" applyFont="1" applyFill="1" applyBorder="1"/>
    <xf numFmtId="0" fontId="30" fillId="4" borderId="27" xfId="0" applyFont="1" applyFill="1" applyBorder="1"/>
    <xf numFmtId="0" fontId="0" fillId="4" borderId="27" xfId="0" applyFill="1" applyBorder="1"/>
    <xf numFmtId="0" fontId="36" fillId="3" borderId="0" xfId="0" applyFont="1" applyFill="1" applyBorder="1"/>
    <xf numFmtId="0" fontId="15" fillId="3" borderId="0" xfId="0" quotePrefix="1" applyFont="1" applyFill="1"/>
    <xf numFmtId="0" fontId="12" fillId="3" borderId="0" xfId="0" applyFont="1" applyFill="1" applyBorder="1"/>
    <xf numFmtId="2" fontId="12" fillId="3" borderId="0" xfId="0" applyNumberFormat="1" applyFont="1" applyFill="1" applyBorder="1"/>
    <xf numFmtId="2" fontId="12" fillId="3" borderId="0" xfId="0" applyNumberFormat="1" applyFont="1" applyFill="1"/>
    <xf numFmtId="0" fontId="35" fillId="3" borderId="0" xfId="0" applyFont="1" applyFill="1"/>
    <xf numFmtId="168" fontId="0" fillId="3" borderId="0" xfId="0" applyNumberFormat="1" applyFill="1"/>
    <xf numFmtId="168" fontId="16" fillId="3" borderId="0" xfId="0" applyNumberFormat="1" applyFont="1" applyFill="1"/>
    <xf numFmtId="168" fontId="12" fillId="3" borderId="0" xfId="0" applyNumberFormat="1" applyFont="1" applyFill="1"/>
    <xf numFmtId="177" fontId="16" fillId="6" borderId="1" xfId="0" applyNumberFormat="1" applyFont="1" applyFill="1" applyBorder="1" applyAlignment="1">
      <alignment horizontal="center"/>
    </xf>
    <xf numFmtId="0" fontId="0" fillId="5" borderId="28" xfId="0" applyFill="1" applyBorder="1"/>
    <xf numFmtId="0" fontId="6" fillId="5" borderId="25" xfId="0" applyFont="1" applyFill="1" applyBorder="1"/>
    <xf numFmtId="0" fontId="40" fillId="5" borderId="26" xfId="0" applyFont="1" applyFill="1" applyBorder="1"/>
    <xf numFmtId="0" fontId="14" fillId="5" borderId="26" xfId="0" applyFont="1" applyFill="1" applyBorder="1"/>
    <xf numFmtId="0" fontId="40" fillId="5" borderId="27" xfId="0" applyFont="1" applyFill="1" applyBorder="1"/>
    <xf numFmtId="0" fontId="0" fillId="11" borderId="13" xfId="0" applyFill="1" applyBorder="1"/>
    <xf numFmtId="0" fontId="0" fillId="11" borderId="22" xfId="0" applyFill="1" applyBorder="1"/>
    <xf numFmtId="0" fontId="0" fillId="11" borderId="23" xfId="0" applyFill="1" applyBorder="1"/>
    <xf numFmtId="0" fontId="0" fillId="11" borderId="25" xfId="0" applyFill="1" applyBorder="1"/>
    <xf numFmtId="0" fontId="0" fillId="16" borderId="0" xfId="0" applyFill="1" applyBorder="1"/>
    <xf numFmtId="0" fontId="0" fillId="16" borderId="24" xfId="0" applyFill="1" applyBorder="1"/>
    <xf numFmtId="168" fontId="0" fillId="16" borderId="0" xfId="0" applyNumberFormat="1" applyFill="1" applyBorder="1" applyAlignment="1">
      <alignment horizontal="center"/>
    </xf>
    <xf numFmtId="0" fontId="0" fillId="16" borderId="0" xfId="0" applyFill="1" applyBorder="1" applyAlignment="1">
      <alignment horizontal="center"/>
    </xf>
    <xf numFmtId="0" fontId="0" fillId="16" borderId="26" xfId="0" applyFill="1" applyBorder="1"/>
    <xf numFmtId="168" fontId="0" fillId="16" borderId="26" xfId="0" applyNumberFormat="1" applyFill="1" applyBorder="1" applyAlignment="1">
      <alignment horizontal="center"/>
    </xf>
    <xf numFmtId="0" fontId="0" fillId="16" borderId="26" xfId="0" applyFill="1" applyBorder="1" applyAlignment="1">
      <alignment horizontal="center"/>
    </xf>
    <xf numFmtId="0" fontId="0" fillId="16" borderId="27" xfId="0" applyFill="1" applyBorder="1"/>
    <xf numFmtId="0" fontId="0" fillId="16" borderId="23" xfId="0" applyFill="1" applyBorder="1" applyAlignment="1">
      <alignment horizontal="center"/>
    </xf>
    <xf numFmtId="0" fontId="0" fillId="16" borderId="25" xfId="0" applyFill="1" applyBorder="1" applyAlignment="1">
      <alignment horizontal="center"/>
    </xf>
    <xf numFmtId="0" fontId="0" fillId="5" borderId="0" xfId="0" applyFill="1" applyBorder="1"/>
    <xf numFmtId="182" fontId="0" fillId="10" borderId="9" xfId="0" applyNumberFormat="1" applyFill="1" applyBorder="1" applyAlignment="1">
      <alignment horizontal="center"/>
    </xf>
    <xf numFmtId="183" fontId="25" fillId="5" borderId="9" xfId="0" applyNumberFormat="1" applyFont="1" applyFill="1" applyBorder="1" applyAlignment="1">
      <alignment horizontal="center"/>
    </xf>
    <xf numFmtId="175" fontId="29" fillId="6" borderId="9" xfId="0" applyNumberFormat="1" applyFont="1" applyFill="1" applyBorder="1" applyAlignment="1">
      <alignment horizontal="center"/>
    </xf>
    <xf numFmtId="0" fontId="11" fillId="4" borderId="33" xfId="0" applyFont="1" applyFill="1" applyBorder="1" applyAlignment="1">
      <alignment horizontal="center"/>
    </xf>
    <xf numFmtId="0" fontId="11" fillId="4" borderId="20" xfId="0" applyFont="1" applyFill="1" applyBorder="1"/>
    <xf numFmtId="0" fontId="0" fillId="4" borderId="20" xfId="0" applyFill="1" applyBorder="1"/>
    <xf numFmtId="0" fontId="12" fillId="4" borderId="20" xfId="0" applyFont="1" applyFill="1" applyBorder="1"/>
    <xf numFmtId="0" fontId="0" fillId="4" borderId="45" xfId="0" applyFill="1" applyBorder="1"/>
    <xf numFmtId="0" fontId="6" fillId="11" borderId="28" xfId="0" applyFont="1" applyFill="1" applyBorder="1"/>
    <xf numFmtId="0" fontId="2" fillId="3" borderId="0" xfId="2" applyFill="1" applyAlignment="1" applyProtection="1"/>
    <xf numFmtId="168" fontId="0" fillId="16" borderId="0" xfId="0" applyNumberFormat="1" applyFill="1" applyBorder="1"/>
    <xf numFmtId="2" fontId="0" fillId="16" borderId="0" xfId="0" applyNumberFormat="1" applyFill="1" applyBorder="1" applyAlignment="1">
      <alignment horizontal="center"/>
    </xf>
    <xf numFmtId="2" fontId="6" fillId="16" borderId="0" xfId="0" applyNumberFormat="1" applyFont="1" applyFill="1" applyBorder="1" applyAlignment="1">
      <alignment horizontal="center"/>
    </xf>
    <xf numFmtId="168" fontId="6" fillId="16" borderId="0" xfId="0" applyNumberFormat="1" applyFont="1" applyFill="1" applyBorder="1" applyAlignment="1">
      <alignment horizontal="center"/>
    </xf>
    <xf numFmtId="0" fontId="0" fillId="14" borderId="28" xfId="0" applyFill="1" applyBorder="1"/>
    <xf numFmtId="0" fontId="1" fillId="3" borderId="0" xfId="0" applyFont="1" applyFill="1" applyBorder="1" applyAlignment="1">
      <alignment horizontal="center"/>
    </xf>
    <xf numFmtId="184" fontId="25" fillId="5" borderId="9" xfId="0" applyNumberFormat="1" applyFont="1" applyFill="1" applyBorder="1" applyAlignment="1">
      <alignment horizontal="center"/>
    </xf>
    <xf numFmtId="1" fontId="0" fillId="3" borderId="0" xfId="0" applyNumberFormat="1" applyFill="1" applyAlignment="1">
      <alignment horizontal="center"/>
    </xf>
    <xf numFmtId="0" fontId="13" fillId="3" borderId="0" xfId="0" applyFont="1" applyFill="1"/>
    <xf numFmtId="169" fontId="0" fillId="16" borderId="0" xfId="1" applyNumberFormat="1" applyFont="1" applyFill="1" applyBorder="1"/>
    <xf numFmtId="182" fontId="0" fillId="10" borderId="9" xfId="1" applyNumberFormat="1" applyFont="1" applyFill="1" applyBorder="1" applyAlignment="1">
      <alignment horizontal="left"/>
    </xf>
    <xf numFmtId="0" fontId="0" fillId="3" borderId="4" xfId="0" applyFill="1" applyBorder="1" applyAlignment="1">
      <alignment horizontal="left"/>
    </xf>
    <xf numFmtId="0" fontId="0" fillId="3" borderId="6" xfId="0" applyFill="1" applyBorder="1" applyAlignment="1">
      <alignment horizontal="left"/>
    </xf>
    <xf numFmtId="0" fontId="0" fillId="0" borderId="22" xfId="0" applyBorder="1"/>
    <xf numFmtId="0" fontId="0" fillId="0" borderId="24" xfId="0" applyBorder="1"/>
    <xf numFmtId="0" fontId="0" fillId="0" borderId="27" xfId="0" applyBorder="1"/>
    <xf numFmtId="0" fontId="0" fillId="4" borderId="9" xfId="0" applyFill="1" applyBorder="1" applyAlignment="1">
      <alignment horizontal="center"/>
    </xf>
    <xf numFmtId="0" fontId="0" fillId="0" borderId="0" xfId="0" applyBorder="1" applyAlignment="1">
      <alignment horizontal="right"/>
    </xf>
    <xf numFmtId="0" fontId="6" fillId="12" borderId="9" xfId="0" applyFont="1" applyFill="1" applyBorder="1"/>
    <xf numFmtId="0" fontId="0" fillId="5" borderId="5" xfId="0" applyFill="1" applyBorder="1"/>
    <xf numFmtId="0" fontId="0" fillId="5" borderId="5" xfId="0" applyFill="1" applyBorder="1" applyAlignment="1">
      <alignment horizontal="center"/>
    </xf>
    <xf numFmtId="0" fontId="0" fillId="5" borderId="20" xfId="0" applyFill="1" applyBorder="1"/>
    <xf numFmtId="0" fontId="0" fillId="5" borderId="14" xfId="0" applyFill="1" applyBorder="1" applyAlignment="1">
      <alignment horizontal="center"/>
    </xf>
    <xf numFmtId="0" fontId="0" fillId="5" borderId="16" xfId="0" applyFill="1" applyBorder="1" applyAlignment="1">
      <alignment horizontal="center"/>
    </xf>
    <xf numFmtId="0" fontId="0" fillId="5" borderId="21" xfId="0" applyFill="1" applyBorder="1"/>
    <xf numFmtId="0" fontId="16" fillId="6" borderId="9" xfId="0" applyFont="1" applyFill="1" applyBorder="1" applyAlignment="1"/>
    <xf numFmtId="0" fontId="29" fillId="6" borderId="9" xfId="0" applyFont="1" applyFill="1" applyBorder="1"/>
    <xf numFmtId="0" fontId="0" fillId="3" borderId="0" xfId="0" applyFill="1" applyAlignment="1">
      <alignment horizontal="left"/>
    </xf>
    <xf numFmtId="0" fontId="0" fillId="3" borderId="0" xfId="0" applyFill="1" applyBorder="1" applyAlignment="1">
      <alignment horizontal="left"/>
    </xf>
    <xf numFmtId="0" fontId="26" fillId="3" borderId="1" xfId="0" applyFont="1" applyFill="1" applyBorder="1" applyAlignment="1">
      <alignment horizontal="left"/>
    </xf>
    <xf numFmtId="0" fontId="0" fillId="4" borderId="25" xfId="0" applyFill="1" applyBorder="1"/>
    <xf numFmtId="0" fontId="6" fillId="3" borderId="0" xfId="0" applyFont="1" applyFill="1" applyBorder="1" applyAlignment="1">
      <alignment horizontal="center"/>
    </xf>
    <xf numFmtId="0" fontId="5" fillId="3" borderId="0" xfId="0" applyFont="1" applyFill="1" applyBorder="1"/>
    <xf numFmtId="0" fontId="11" fillId="9" borderId="9" xfId="0" applyFont="1" applyFill="1" applyBorder="1"/>
    <xf numFmtId="0" fontId="0" fillId="9" borderId="9" xfId="0" applyFill="1" applyBorder="1"/>
    <xf numFmtId="168" fontId="6" fillId="9" borderId="9" xfId="0" applyNumberFormat="1" applyFont="1" applyFill="1" applyBorder="1" applyAlignment="1">
      <alignment horizontal="center"/>
    </xf>
    <xf numFmtId="0" fontId="0" fillId="9" borderId="9" xfId="0" applyFill="1" applyBorder="1" applyAlignment="1">
      <alignment horizontal="center"/>
    </xf>
    <xf numFmtId="0" fontId="32" fillId="5" borderId="0" xfId="0" applyFont="1" applyFill="1" applyAlignment="1">
      <alignment horizontal="center"/>
    </xf>
    <xf numFmtId="0" fontId="6" fillId="5" borderId="0" xfId="0" applyFont="1" applyFill="1" applyAlignment="1">
      <alignment horizontal="center"/>
    </xf>
    <xf numFmtId="0" fontId="1" fillId="4" borderId="0" xfId="0" applyFont="1" applyFill="1"/>
    <xf numFmtId="0" fontId="15" fillId="4" borderId="0" xfId="0" applyFont="1" applyFill="1"/>
    <xf numFmtId="0" fontId="40" fillId="4" borderId="0" xfId="0" applyFont="1" applyFill="1"/>
    <xf numFmtId="0" fontId="6" fillId="12" borderId="19" xfId="0" applyFont="1" applyFill="1" applyBorder="1"/>
    <xf numFmtId="0" fontId="6" fillId="12" borderId="21" xfId="0" applyFont="1" applyFill="1" applyBorder="1"/>
    <xf numFmtId="0" fontId="9" fillId="5" borderId="8" xfId="0" applyFont="1" applyFill="1" applyBorder="1" applyAlignment="1">
      <alignment horizontal="center"/>
    </xf>
    <xf numFmtId="0" fontId="6" fillId="3" borderId="9" xfId="0" applyFont="1" applyFill="1" applyBorder="1"/>
    <xf numFmtId="0" fontId="36" fillId="3" borderId="9" xfId="0" applyFont="1" applyFill="1" applyBorder="1"/>
    <xf numFmtId="0" fontId="0" fillId="15" borderId="0" xfId="0" applyFill="1"/>
    <xf numFmtId="0" fontId="25" fillId="0" borderId="9" xfId="0" applyFont="1" applyFill="1" applyBorder="1" applyAlignment="1">
      <alignment horizontal="center"/>
    </xf>
    <xf numFmtId="0" fontId="29" fillId="4" borderId="9" xfId="0" applyFont="1" applyFill="1" applyBorder="1" applyAlignment="1">
      <alignment horizontal="center"/>
    </xf>
    <xf numFmtId="0" fontId="6" fillId="17" borderId="9" xfId="0" applyFont="1" applyFill="1" applyBorder="1" applyAlignment="1">
      <alignment horizontal="center"/>
    </xf>
    <xf numFmtId="0" fontId="6" fillId="18" borderId="9" xfId="0" applyFont="1" applyFill="1" applyBorder="1" applyAlignment="1">
      <alignment horizontal="center"/>
    </xf>
    <xf numFmtId="0" fontId="6" fillId="6" borderId="9" xfId="0" applyFont="1" applyFill="1" applyBorder="1" applyAlignment="1">
      <alignment horizontal="center"/>
    </xf>
    <xf numFmtId="0" fontId="0" fillId="12" borderId="14" xfId="0" applyFill="1" applyBorder="1"/>
    <xf numFmtId="0" fontId="0" fillId="12" borderId="16" xfId="0" applyFill="1" applyBorder="1"/>
    <xf numFmtId="0" fontId="11" fillId="5" borderId="4" xfId="0" applyFont="1" applyFill="1" applyBorder="1"/>
    <xf numFmtId="0" fontId="11" fillId="5" borderId="5" xfId="0" applyFont="1" applyFill="1" applyBorder="1"/>
    <xf numFmtId="0" fontId="11" fillId="5" borderId="5" xfId="0" applyFont="1" applyFill="1" applyBorder="1" applyAlignment="1">
      <alignment horizontal="center"/>
    </xf>
    <xf numFmtId="0" fontId="11" fillId="5" borderId="6" xfId="0" applyFont="1" applyFill="1" applyBorder="1" applyAlignment="1">
      <alignment horizontal="center"/>
    </xf>
    <xf numFmtId="173" fontId="29" fillId="6" borderId="10" xfId="0" applyNumberFormat="1" applyFont="1" applyFill="1" applyBorder="1" applyAlignment="1">
      <alignment horizontal="center"/>
    </xf>
    <xf numFmtId="0" fontId="0" fillId="8" borderId="5" xfId="0" applyFill="1" applyBorder="1"/>
    <xf numFmtId="0" fontId="11" fillId="5" borderId="4" xfId="0" applyFont="1" applyFill="1" applyBorder="1" applyAlignment="1">
      <alignment horizontal="center"/>
    </xf>
    <xf numFmtId="0" fontId="0" fillId="12" borderId="9" xfId="0" applyFill="1" applyBorder="1" applyAlignment="1">
      <alignment horizontal="left"/>
    </xf>
    <xf numFmtId="0" fontId="7" fillId="5" borderId="1" xfId="0" applyFont="1" applyFill="1" applyBorder="1" applyAlignment="1">
      <alignment horizontal="center"/>
    </xf>
    <xf numFmtId="0" fontId="5" fillId="4" borderId="19" xfId="0" applyFont="1" applyFill="1" applyBorder="1" applyAlignment="1">
      <alignment horizontal="left"/>
    </xf>
    <xf numFmtId="0" fontId="5" fillId="4" borderId="5" xfId="0" applyFont="1" applyFill="1" applyBorder="1" applyAlignment="1">
      <alignment horizontal="center"/>
    </xf>
    <xf numFmtId="0" fontId="0" fillId="10" borderId="9" xfId="0" applyFill="1" applyBorder="1"/>
    <xf numFmtId="0" fontId="6" fillId="14" borderId="4" xfId="0" applyFont="1" applyFill="1" applyBorder="1"/>
    <xf numFmtId="0" fontId="39" fillId="12" borderId="4" xfId="0" applyFont="1" applyFill="1" applyBorder="1"/>
    <xf numFmtId="0" fontId="40" fillId="12" borderId="6" xfId="0" applyFont="1" applyFill="1" applyBorder="1"/>
    <xf numFmtId="0" fontId="40" fillId="12" borderId="5" xfId="0" applyFont="1" applyFill="1" applyBorder="1"/>
    <xf numFmtId="0" fontId="15" fillId="16" borderId="9" xfId="0" applyFont="1" applyFill="1" applyBorder="1" applyAlignment="1">
      <alignment horizontal="center"/>
    </xf>
    <xf numFmtId="0" fontId="1" fillId="8" borderId="0" xfId="0" applyFont="1" applyFill="1"/>
    <xf numFmtId="0" fontId="40" fillId="8" borderId="0" xfId="0" applyFont="1" applyFill="1"/>
    <xf numFmtId="0" fontId="6" fillId="16" borderId="4" xfId="0" applyFont="1" applyFill="1" applyBorder="1"/>
    <xf numFmtId="0" fontId="0" fillId="16" borderId="5" xfId="0" applyFill="1" applyBorder="1"/>
    <xf numFmtId="0" fontId="0" fillId="16" borderId="6" xfId="0" applyFill="1" applyBorder="1"/>
    <xf numFmtId="0" fontId="0" fillId="8" borderId="6" xfId="0" applyFill="1" applyBorder="1"/>
    <xf numFmtId="0" fontId="6" fillId="16" borderId="5" xfId="0" applyFont="1" applyFill="1" applyBorder="1"/>
    <xf numFmtId="1" fontId="0" fillId="8" borderId="0" xfId="0" applyNumberFormat="1" applyFill="1" applyAlignment="1">
      <alignment horizontal="center"/>
    </xf>
    <xf numFmtId="0" fontId="0" fillId="8" borderId="0" xfId="0" applyFill="1" applyAlignment="1"/>
    <xf numFmtId="0" fontId="0" fillId="8" borderId="4" xfId="0" applyFill="1" applyBorder="1"/>
    <xf numFmtId="168" fontId="0" fillId="8" borderId="9" xfId="0" applyNumberFormat="1" applyFill="1" applyBorder="1" applyAlignment="1">
      <alignment horizontal="center"/>
    </xf>
    <xf numFmtId="0" fontId="16" fillId="8" borderId="4" xfId="0" applyFont="1" applyFill="1" applyBorder="1"/>
    <xf numFmtId="0" fontId="6" fillId="4" borderId="26" xfId="0" applyFont="1" applyFill="1" applyBorder="1"/>
    <xf numFmtId="0" fontId="17" fillId="4" borderId="26" xfId="0" applyFont="1" applyFill="1" applyBorder="1"/>
    <xf numFmtId="0" fontId="17" fillId="4" borderId="7" xfId="0" applyFont="1" applyFill="1" applyBorder="1"/>
    <xf numFmtId="0" fontId="60" fillId="4" borderId="26" xfId="0" applyFont="1" applyFill="1" applyBorder="1"/>
    <xf numFmtId="0" fontId="29" fillId="6" borderId="19" xfId="0" applyFont="1" applyFill="1" applyBorder="1"/>
    <xf numFmtId="0" fontId="29" fillId="6" borderId="21" xfId="0" applyFont="1" applyFill="1" applyBorder="1" applyAlignment="1">
      <alignment horizontal="center"/>
    </xf>
    <xf numFmtId="0" fontId="29" fillId="3" borderId="19" xfId="0" applyFont="1" applyFill="1" applyBorder="1" applyAlignment="1">
      <alignment horizontal="center"/>
    </xf>
    <xf numFmtId="0" fontId="60" fillId="7" borderId="0" xfId="0" applyFont="1" applyFill="1"/>
    <xf numFmtId="0" fontId="61" fillId="0" borderId="0" xfId="0" applyFont="1"/>
    <xf numFmtId="0" fontId="61" fillId="8" borderId="0" xfId="0" applyFont="1" applyFill="1"/>
    <xf numFmtId="0" fontId="1" fillId="8" borderId="0" xfId="0" applyFont="1" applyFill="1" applyBorder="1"/>
    <xf numFmtId="0" fontId="0" fillId="0" borderId="9" xfId="0" applyFill="1" applyBorder="1" applyAlignment="1">
      <alignment horizontal="center"/>
    </xf>
    <xf numFmtId="0" fontId="1" fillId="10" borderId="9" xfId="0" applyFont="1" applyFill="1" applyBorder="1" applyAlignment="1">
      <alignment horizontal="center"/>
    </xf>
    <xf numFmtId="0" fontId="1" fillId="0" borderId="0" xfId="0" applyFont="1" applyFill="1" applyBorder="1" applyAlignment="1">
      <alignment horizontal="center"/>
    </xf>
    <xf numFmtId="0" fontId="25" fillId="5" borderId="26" xfId="0" applyFont="1" applyFill="1" applyBorder="1"/>
    <xf numFmtId="0" fontId="34" fillId="4" borderId="26" xfId="0" applyFont="1" applyFill="1" applyBorder="1" applyAlignment="1">
      <alignment horizontal="left"/>
    </xf>
    <xf numFmtId="0" fontId="6" fillId="4" borderId="26" xfId="0" applyFont="1" applyFill="1" applyBorder="1" applyAlignment="1">
      <alignment horizontal="center"/>
    </xf>
    <xf numFmtId="0" fontId="11" fillId="4" borderId="26" xfId="0" applyFont="1" applyFill="1" applyBorder="1" applyAlignment="1">
      <alignment horizontal="center"/>
    </xf>
    <xf numFmtId="186" fontId="9" fillId="5" borderId="9" xfId="1" applyNumberFormat="1" applyFont="1" applyFill="1" applyBorder="1" applyAlignment="1">
      <alignment horizontal="center"/>
    </xf>
    <xf numFmtId="187" fontId="9" fillId="5" borderId="9" xfId="0" applyNumberFormat="1" applyFont="1" applyFill="1" applyBorder="1" applyAlignment="1">
      <alignment horizontal="center"/>
    </xf>
    <xf numFmtId="188" fontId="12" fillId="3" borderId="0" xfId="1" applyNumberFormat="1" applyFont="1" applyFill="1" applyAlignment="1">
      <alignment horizontal="center"/>
    </xf>
    <xf numFmtId="0" fontId="1" fillId="10" borderId="9" xfId="0" applyNumberFormat="1" applyFont="1" applyFill="1" applyBorder="1" applyAlignment="1">
      <alignment horizontal="center"/>
    </xf>
    <xf numFmtId="168" fontId="1" fillId="15" borderId="0" xfId="0" applyNumberFormat="1" applyFont="1" applyFill="1" applyBorder="1" applyAlignment="1">
      <alignment horizontal="center"/>
    </xf>
    <xf numFmtId="0" fontId="25" fillId="3" borderId="0" xfId="0" applyFont="1" applyFill="1"/>
    <xf numFmtId="0" fontId="1" fillId="11" borderId="0" xfId="0" applyFont="1" applyFill="1" applyBorder="1" applyAlignment="1">
      <alignment horizontal="center"/>
    </xf>
    <xf numFmtId="0" fontId="5" fillId="4" borderId="4" xfId="0" applyFont="1" applyFill="1" applyBorder="1" applyAlignment="1">
      <alignment horizontal="left"/>
    </xf>
    <xf numFmtId="0" fontId="17" fillId="3" borderId="0" xfId="0" applyFont="1" applyFill="1"/>
    <xf numFmtId="0" fontId="5" fillId="4" borderId="4" xfId="0" applyFont="1" applyFill="1" applyBorder="1" applyAlignment="1">
      <alignment horizontal="center"/>
    </xf>
    <xf numFmtId="171" fontId="8" fillId="5" borderId="1" xfId="0" applyNumberFormat="1" applyFont="1" applyFill="1" applyBorder="1" applyAlignment="1">
      <alignment horizontal="center"/>
    </xf>
    <xf numFmtId="189" fontId="29" fillId="6" borderId="9" xfId="0" applyNumberFormat="1" applyFont="1" applyFill="1" applyBorder="1" applyAlignment="1">
      <alignment horizontal="center"/>
    </xf>
    <xf numFmtId="14" fontId="0" fillId="8" borderId="9" xfId="0" applyNumberFormat="1" applyFill="1" applyBorder="1" applyAlignment="1">
      <alignment horizontal="center"/>
    </xf>
    <xf numFmtId="0" fontId="0" fillId="8" borderId="9" xfId="0" applyFill="1" applyBorder="1" applyAlignment="1">
      <alignment horizontal="center"/>
    </xf>
    <xf numFmtId="164" fontId="6" fillId="8" borderId="17" xfId="0" applyNumberFormat="1" applyFont="1" applyFill="1" applyBorder="1"/>
    <xf numFmtId="0" fontId="26" fillId="3" borderId="0" xfId="0" applyFont="1" applyFill="1" applyAlignment="1">
      <alignment horizontal="center"/>
    </xf>
    <xf numFmtId="0" fontId="0" fillId="6" borderId="5" xfId="0" applyFill="1" applyBorder="1" applyAlignment="1">
      <alignment horizontal="left"/>
    </xf>
    <xf numFmtId="0" fontId="25" fillId="5" borderId="1" xfId="0" applyFont="1" applyFill="1" applyBorder="1" applyAlignment="1">
      <alignment horizontal="center"/>
    </xf>
    <xf numFmtId="168" fontId="25" fillId="5" borderId="26" xfId="0" applyNumberFormat="1" applyFont="1" applyFill="1" applyBorder="1" applyAlignment="1">
      <alignment horizontal="center"/>
    </xf>
    <xf numFmtId="168" fontId="25" fillId="5" borderId="26" xfId="0" applyNumberFormat="1" applyFont="1" applyFill="1" applyBorder="1" applyAlignment="1">
      <alignment horizontal="right"/>
    </xf>
    <xf numFmtId="2" fontId="0" fillId="3" borderId="0" xfId="0" applyNumberFormat="1" applyFill="1" applyBorder="1" applyAlignment="1">
      <alignment horizontal="center"/>
    </xf>
    <xf numFmtId="0" fontId="9" fillId="0" borderId="9" xfId="0" applyFont="1" applyFill="1" applyBorder="1" applyAlignment="1">
      <alignment horizontal="center"/>
    </xf>
    <xf numFmtId="2" fontId="10" fillId="3" borderId="9" xfId="0" applyNumberFormat="1" applyFont="1" applyFill="1" applyBorder="1" applyAlignment="1">
      <alignment horizontal="center"/>
    </xf>
    <xf numFmtId="0" fontId="0" fillId="3" borderId="0" xfId="0" applyFill="1" applyAlignment="1">
      <alignment wrapText="1"/>
    </xf>
    <xf numFmtId="0" fontId="0" fillId="14" borderId="1" xfId="0" applyFill="1" applyBorder="1" applyAlignment="1">
      <alignment horizontal="center"/>
    </xf>
    <xf numFmtId="0" fontId="9" fillId="0" borderId="9" xfId="0" quotePrefix="1" applyFont="1" applyFill="1" applyBorder="1" applyAlignment="1">
      <alignment horizontal="center"/>
    </xf>
    <xf numFmtId="2" fontId="17" fillId="6" borderId="9" xfId="0" applyNumberFormat="1" applyFont="1" applyFill="1" applyBorder="1" applyAlignment="1">
      <alignment horizontal="center"/>
    </xf>
    <xf numFmtId="0" fontId="25" fillId="9" borderId="0" xfId="0" applyFont="1" applyFill="1" applyBorder="1" applyAlignment="1">
      <alignment horizontal="left"/>
    </xf>
    <xf numFmtId="168" fontId="1" fillId="6" borderId="0" xfId="0" applyNumberFormat="1" applyFont="1" applyFill="1" applyBorder="1" applyAlignment="1">
      <alignment horizontal="right"/>
    </xf>
    <xf numFmtId="0" fontId="1" fillId="6" borderId="0" xfId="0" applyFont="1" applyFill="1" applyBorder="1"/>
    <xf numFmtId="0" fontId="25" fillId="11" borderId="0" xfId="0" applyFont="1" applyFill="1" applyBorder="1" applyAlignment="1">
      <alignment horizontal="left"/>
    </xf>
    <xf numFmtId="0" fontId="1" fillId="11" borderId="0" xfId="0" applyFont="1" applyFill="1" applyBorder="1"/>
    <xf numFmtId="168" fontId="0" fillId="6" borderId="0" xfId="0" applyNumberFormat="1" applyFill="1" applyBorder="1" applyAlignment="1">
      <alignment horizontal="right"/>
    </xf>
    <xf numFmtId="0" fontId="1" fillId="9" borderId="0" xfId="0" applyFont="1" applyFill="1" applyBorder="1"/>
    <xf numFmtId="0" fontId="1" fillId="9" borderId="0" xfId="0" applyFont="1" applyFill="1" applyBorder="1" applyAlignment="1">
      <alignment horizontal="left"/>
    </xf>
    <xf numFmtId="168" fontId="1" fillId="9" borderId="0" xfId="0" applyNumberFormat="1" applyFont="1" applyFill="1" applyBorder="1" applyAlignment="1">
      <alignment horizontal="right"/>
    </xf>
    <xf numFmtId="168" fontId="1" fillId="15" borderId="0" xfId="0" applyNumberFormat="1" applyFont="1" applyFill="1" applyBorder="1"/>
    <xf numFmtId="0" fontId="1" fillId="15" borderId="18" xfId="0" applyFont="1" applyFill="1" applyBorder="1"/>
    <xf numFmtId="168" fontId="1" fillId="15" borderId="17" xfId="0" applyNumberFormat="1" applyFont="1" applyFill="1" applyBorder="1"/>
    <xf numFmtId="0" fontId="1" fillId="11" borderId="21" xfId="0" applyFont="1" applyFill="1" applyBorder="1"/>
    <xf numFmtId="0" fontId="26" fillId="11" borderId="0" xfId="0" applyFont="1" applyFill="1" applyBorder="1" applyAlignment="1">
      <alignment horizontal="left"/>
    </xf>
    <xf numFmtId="0" fontId="65" fillId="9" borderId="26" xfId="0" applyFont="1" applyFill="1" applyBorder="1" applyAlignment="1">
      <alignment horizontal="left"/>
    </xf>
    <xf numFmtId="2" fontId="0" fillId="11" borderId="0" xfId="0" applyNumberFormat="1" applyFill="1" applyAlignment="1">
      <alignment horizontal="center"/>
    </xf>
    <xf numFmtId="0" fontId="33" fillId="15" borderId="9" xfId="0" applyFont="1" applyFill="1" applyBorder="1" applyAlignment="1">
      <alignment horizontal="center" wrapText="1"/>
    </xf>
    <xf numFmtId="0" fontId="0" fillId="11" borderId="9" xfId="0" applyFill="1" applyBorder="1" applyAlignment="1">
      <alignment horizontal="center" wrapText="1"/>
    </xf>
    <xf numFmtId="0" fontId="0" fillId="3" borderId="5" xfId="0" applyFill="1" applyBorder="1" applyAlignment="1">
      <alignment horizontal="left"/>
    </xf>
    <xf numFmtId="168" fontId="25" fillId="6" borderId="0" xfId="0" applyNumberFormat="1" applyFont="1" applyFill="1" applyBorder="1" applyAlignment="1">
      <alignment horizontal="right"/>
    </xf>
    <xf numFmtId="0" fontId="25" fillId="6" borderId="0" xfId="0" applyFont="1" applyFill="1" applyBorder="1"/>
    <xf numFmtId="172" fontId="25" fillId="5" borderId="46" xfId="0" applyNumberFormat="1" applyFont="1" applyFill="1" applyBorder="1" applyAlignment="1">
      <alignment horizontal="center"/>
    </xf>
    <xf numFmtId="9" fontId="25" fillId="5" borderId="47" xfId="4" applyFont="1" applyFill="1" applyBorder="1" applyAlignment="1">
      <alignment horizontal="center"/>
    </xf>
    <xf numFmtId="0" fontId="0" fillId="11" borderId="36" xfId="0" applyFill="1" applyBorder="1" applyAlignment="1">
      <alignment horizontal="center" wrapText="1"/>
    </xf>
    <xf numFmtId="0" fontId="33" fillId="11" borderId="36" xfId="0" applyFont="1" applyFill="1" applyBorder="1" applyAlignment="1">
      <alignment horizontal="center" wrapText="1"/>
    </xf>
    <xf numFmtId="0" fontId="33" fillId="11" borderId="7" xfId="0" applyFont="1" applyFill="1" applyBorder="1" applyAlignment="1">
      <alignment horizontal="center" wrapText="1"/>
    </xf>
    <xf numFmtId="0" fontId="0" fillId="11" borderId="26" xfId="0" applyFill="1" applyBorder="1" applyAlignment="1">
      <alignment horizontal="left"/>
    </xf>
    <xf numFmtId="0" fontId="25" fillId="5" borderId="26" xfId="0" applyFont="1" applyFill="1" applyBorder="1" applyAlignment="1">
      <alignment horizontal="center"/>
    </xf>
    <xf numFmtId="190" fontId="25" fillId="5" borderId="9" xfId="0" applyNumberFormat="1" applyFont="1" applyFill="1" applyBorder="1" applyAlignment="1">
      <alignment horizontal="center"/>
    </xf>
    <xf numFmtId="0" fontId="0" fillId="14" borderId="0" xfId="0" quotePrefix="1" applyFill="1" applyBorder="1" applyAlignment="1">
      <alignment horizontal="right"/>
    </xf>
    <xf numFmtId="0" fontId="16" fillId="6" borderId="9" xfId="0" applyFont="1" applyFill="1" applyBorder="1" applyAlignment="1">
      <alignment horizontal="center"/>
    </xf>
    <xf numFmtId="0" fontId="66" fillId="6" borderId="9" xfId="0" applyFont="1" applyFill="1" applyBorder="1" applyAlignment="1">
      <alignment horizontal="center"/>
    </xf>
    <xf numFmtId="0" fontId="0" fillId="3" borderId="26" xfId="0" applyFill="1" applyBorder="1" applyAlignment="1">
      <alignment horizontal="right"/>
    </xf>
    <xf numFmtId="0" fontId="0" fillId="0" borderId="26" xfId="0" applyBorder="1"/>
    <xf numFmtId="0" fontId="5" fillId="5" borderId="0" xfId="0" applyFont="1" applyFill="1"/>
    <xf numFmtId="0" fontId="0" fillId="19" borderId="28" xfId="0" applyFill="1" applyBorder="1"/>
    <xf numFmtId="0" fontId="0" fillId="19" borderId="13" xfId="0" applyFill="1" applyBorder="1"/>
    <xf numFmtId="0" fontId="0" fillId="19" borderId="22" xfId="0" applyFill="1" applyBorder="1"/>
    <xf numFmtId="0" fontId="0" fillId="19" borderId="23" xfId="0" applyFill="1" applyBorder="1"/>
    <xf numFmtId="0" fontId="0" fillId="19" borderId="0" xfId="0" applyFill="1" applyBorder="1"/>
    <xf numFmtId="0" fontId="0" fillId="19" borderId="24" xfId="0" applyFill="1" applyBorder="1"/>
    <xf numFmtId="0" fontId="12" fillId="19" borderId="0" xfId="0" applyFont="1" applyFill="1" applyBorder="1"/>
    <xf numFmtId="0" fontId="0" fillId="19" borderId="26" xfId="0" applyFill="1" applyBorder="1"/>
    <xf numFmtId="0" fontId="0" fillId="19" borderId="27" xfId="0" applyFill="1" applyBorder="1"/>
    <xf numFmtId="0" fontId="0" fillId="13" borderId="0" xfId="0" applyFill="1"/>
    <xf numFmtId="185" fontId="6" fillId="6" borderId="36" xfId="1" applyNumberFormat="1" applyFont="1" applyFill="1" applyBorder="1"/>
    <xf numFmtId="0" fontId="6" fillId="6" borderId="8" xfId="0" applyFont="1" applyFill="1" applyBorder="1" applyAlignment="1">
      <alignment horizontal="left"/>
    </xf>
    <xf numFmtId="168" fontId="0" fillId="5" borderId="0" xfId="0" applyNumberFormat="1" applyFill="1" applyAlignment="1">
      <alignment horizontal="center"/>
    </xf>
    <xf numFmtId="1" fontId="0" fillId="5" borderId="0" xfId="0" applyNumberFormat="1" applyFill="1" applyAlignment="1">
      <alignment horizontal="center"/>
    </xf>
    <xf numFmtId="185" fontId="0" fillId="5" borderId="0" xfId="1" applyNumberFormat="1" applyFont="1" applyFill="1"/>
    <xf numFmtId="0" fontId="12" fillId="5" borderId="0" xfId="0" applyFont="1" applyFill="1" applyAlignment="1">
      <alignment horizontal="left"/>
    </xf>
    <xf numFmtId="0" fontId="0" fillId="13" borderId="36" xfId="0" applyFill="1" applyBorder="1"/>
    <xf numFmtId="0" fontId="0" fillId="13" borderId="7" xfId="0" applyFill="1" applyBorder="1"/>
    <xf numFmtId="0" fontId="0" fillId="13" borderId="8" xfId="0" applyFill="1" applyBorder="1"/>
    <xf numFmtId="168" fontId="12" fillId="6" borderId="7" xfId="0" applyNumberFormat="1" applyFont="1" applyFill="1" applyBorder="1"/>
    <xf numFmtId="0" fontId="12" fillId="6" borderId="8" xfId="0" applyFont="1" applyFill="1" applyBorder="1"/>
    <xf numFmtId="2" fontId="12" fillId="6" borderId="7" xfId="0" applyNumberFormat="1" applyFont="1" applyFill="1" applyBorder="1"/>
    <xf numFmtId="0" fontId="12" fillId="6" borderId="27" xfId="0" applyFont="1" applyFill="1" applyBorder="1"/>
    <xf numFmtId="0" fontId="9" fillId="5" borderId="4" xfId="0" applyFont="1" applyFill="1" applyBorder="1" applyAlignment="1">
      <alignment horizontal="center"/>
    </xf>
    <xf numFmtId="168" fontId="0" fillId="5" borderId="5" xfId="0" applyNumberFormat="1" applyFill="1" applyBorder="1" applyAlignment="1">
      <alignment horizontal="center"/>
    </xf>
    <xf numFmtId="0" fontId="9" fillId="5" borderId="5" xfId="0" applyFont="1" applyFill="1" applyBorder="1" applyAlignment="1">
      <alignment horizontal="center"/>
    </xf>
    <xf numFmtId="185" fontId="0" fillId="5" borderId="5" xfId="1" applyNumberFormat="1" applyFont="1" applyFill="1" applyBorder="1"/>
    <xf numFmtId="168" fontId="0" fillId="5" borderId="5" xfId="0" applyNumberFormat="1" applyFill="1" applyBorder="1"/>
    <xf numFmtId="0" fontId="9" fillId="5" borderId="5" xfId="0" applyFont="1" applyFill="1" applyBorder="1" applyAlignment="1">
      <alignment horizontal="left"/>
    </xf>
    <xf numFmtId="0" fontId="16" fillId="5" borderId="5" xfId="0" applyFont="1" applyFill="1" applyBorder="1"/>
    <xf numFmtId="0" fontId="10" fillId="3" borderId="0" xfId="0" applyFont="1" applyFill="1" applyAlignment="1">
      <alignment horizontal="centerContinuous"/>
    </xf>
    <xf numFmtId="0" fontId="67" fillId="3" borderId="0" xfId="0" applyFont="1" applyFill="1" applyAlignment="1">
      <alignment horizontal="center"/>
    </xf>
    <xf numFmtId="0" fontId="60" fillId="3" borderId="0" xfId="0" applyFont="1" applyFill="1" applyAlignment="1">
      <alignment horizontal="centerContinuous"/>
    </xf>
    <xf numFmtId="0" fontId="69" fillId="3" borderId="0" xfId="3" applyFont="1" applyFill="1" applyBorder="1"/>
    <xf numFmtId="0" fontId="69" fillId="3" borderId="0" xfId="3" applyFont="1" applyFill="1" applyBorder="1" applyAlignment="1">
      <alignment horizontal="center"/>
    </xf>
    <xf numFmtId="0" fontId="68" fillId="3" borderId="0" xfId="3" applyFont="1" applyFill="1" applyBorder="1"/>
    <xf numFmtId="191" fontId="12" fillId="3" borderId="0" xfId="0" applyNumberFormat="1" applyFont="1" applyFill="1" applyBorder="1" applyAlignment="1">
      <alignment horizontal="center"/>
    </xf>
    <xf numFmtId="0" fontId="70" fillId="3" borderId="0" xfId="3" applyFont="1" applyFill="1" applyBorder="1" applyAlignment="1">
      <alignment wrapText="1"/>
    </xf>
    <xf numFmtId="168" fontId="9" fillId="3" borderId="0" xfId="0" applyNumberFormat="1" applyFont="1" applyFill="1" applyBorder="1" applyAlignment="1">
      <alignment horizontal="center"/>
    </xf>
    <xf numFmtId="0" fontId="68" fillId="3" borderId="0" xfId="3" applyFont="1" applyFill="1" applyBorder="1" applyAlignment="1"/>
    <xf numFmtId="0" fontId="69" fillId="3" borderId="0" xfId="3" applyFont="1" applyFill="1" applyBorder="1" applyAlignment="1"/>
    <xf numFmtId="0" fontId="0" fillId="19" borderId="25" xfId="0" applyFill="1" applyBorder="1"/>
    <xf numFmtId="191" fontId="0" fillId="3" borderId="0" xfId="0" applyNumberFormat="1" applyFill="1" applyBorder="1" applyAlignment="1">
      <alignment horizontal="center"/>
    </xf>
    <xf numFmtId="0" fontId="47" fillId="3" borderId="0" xfId="0" applyFont="1" applyFill="1" applyBorder="1"/>
    <xf numFmtId="0" fontId="17" fillId="3" borderId="0" xfId="0" applyFont="1" applyFill="1" applyBorder="1"/>
    <xf numFmtId="0" fontId="12" fillId="0" borderId="0" xfId="0" applyFont="1"/>
    <xf numFmtId="0" fontId="12" fillId="3" borderId="0" xfId="0" applyFont="1" applyFill="1" applyBorder="1" applyAlignment="1">
      <alignment horizontal="center"/>
    </xf>
    <xf numFmtId="0" fontId="0" fillId="0" borderId="9" xfId="0" applyFill="1" applyBorder="1" applyAlignment="1">
      <alignment horizontal="center" vertical="center"/>
    </xf>
    <xf numFmtId="0" fontId="6" fillId="3" borderId="0" xfId="0" applyFont="1" applyFill="1" applyBorder="1" applyAlignment="1">
      <alignment horizontal="right"/>
    </xf>
    <xf numFmtId="0" fontId="12" fillId="3" borderId="0" xfId="0" applyFont="1" applyFill="1" applyBorder="1" applyAlignment="1">
      <alignment horizontal="right"/>
    </xf>
    <xf numFmtId="168" fontId="8" fillId="5" borderId="1" xfId="0" applyNumberFormat="1" applyFont="1" applyFill="1" applyBorder="1" applyAlignment="1">
      <alignment horizontal="center"/>
    </xf>
    <xf numFmtId="188" fontId="17" fillId="6" borderId="1" xfId="0" applyNumberFormat="1" applyFont="1" applyFill="1" applyBorder="1" applyAlignment="1">
      <alignment horizontal="center"/>
    </xf>
    <xf numFmtId="168" fontId="0" fillId="0" borderId="9" xfId="0" applyNumberFormat="1" applyFill="1" applyBorder="1" applyAlignment="1">
      <alignment horizontal="center" vertical="center"/>
    </xf>
    <xf numFmtId="0" fontId="11" fillId="3" borderId="0" xfId="0" applyFont="1" applyFill="1" applyAlignment="1">
      <alignment horizontal="center"/>
    </xf>
    <xf numFmtId="0" fontId="11" fillId="3" borderId="0" xfId="0" applyFont="1" applyFill="1" applyAlignment="1">
      <alignment horizontal="left"/>
    </xf>
    <xf numFmtId="0" fontId="6" fillId="3" borderId="0" xfId="0" applyFont="1" applyFill="1" applyAlignment="1">
      <alignment horizontal="right"/>
    </xf>
    <xf numFmtId="0" fontId="6" fillId="3" borderId="0" xfId="0" applyFont="1" applyFill="1" applyAlignment="1">
      <alignment horizontal="left"/>
    </xf>
    <xf numFmtId="168" fontId="0" fillId="0" borderId="9" xfId="1" applyNumberFormat="1" applyFont="1" applyFill="1" applyBorder="1" applyAlignment="1">
      <alignment horizontal="center" vertical="center"/>
    </xf>
    <xf numFmtId="168" fontId="17" fillId="6" borderId="1" xfId="1" applyNumberFormat="1" applyFont="1" applyFill="1" applyBorder="1" applyAlignment="1">
      <alignment horizontal="center"/>
    </xf>
    <xf numFmtId="0" fontId="9" fillId="3" borderId="26" xfId="0" quotePrefix="1" applyFont="1" applyFill="1" applyBorder="1" applyAlignment="1">
      <alignment horizontal="center"/>
    </xf>
    <xf numFmtId="0" fontId="0" fillId="3" borderId="26" xfId="0" applyFill="1" applyBorder="1" applyAlignment="1">
      <alignment horizontal="center"/>
    </xf>
    <xf numFmtId="0" fontId="0" fillId="3" borderId="26" xfId="0" quotePrefix="1" applyFill="1" applyBorder="1"/>
    <xf numFmtId="0" fontId="9" fillId="3" borderId="26" xfId="0" applyFont="1" applyFill="1" applyBorder="1" applyAlignment="1">
      <alignment horizontal="center"/>
    </xf>
    <xf numFmtId="2" fontId="0" fillId="3" borderId="26" xfId="0" quotePrefix="1" applyNumberFormat="1" applyFill="1" applyBorder="1"/>
    <xf numFmtId="168" fontId="6" fillId="3" borderId="0" xfId="0" applyNumberFormat="1" applyFont="1" applyFill="1" applyBorder="1" applyAlignment="1">
      <alignment horizontal="center"/>
    </xf>
    <xf numFmtId="0" fontId="17" fillId="3" borderId="1" xfId="0" applyFont="1" applyFill="1" applyBorder="1" applyAlignment="1">
      <alignment horizontal="center"/>
    </xf>
    <xf numFmtId="0" fontId="29" fillId="6" borderId="1" xfId="0" applyFont="1" applyFill="1" applyBorder="1" applyAlignment="1">
      <alignment horizontal="center"/>
    </xf>
    <xf numFmtId="2" fontId="9" fillId="0" borderId="11" xfId="0" applyNumberFormat="1" applyFont="1" applyFill="1" applyBorder="1" applyAlignment="1">
      <alignment horizontal="center"/>
    </xf>
    <xf numFmtId="0" fontId="34" fillId="3" borderId="0" xfId="0" applyFont="1" applyFill="1" applyBorder="1" applyAlignment="1">
      <alignment horizontal="left"/>
    </xf>
    <xf numFmtId="0" fontId="11" fillId="3" borderId="0" xfId="0" applyFont="1" applyFill="1" applyBorder="1" applyAlignment="1">
      <alignment horizontal="center"/>
    </xf>
    <xf numFmtId="0" fontId="12" fillId="3" borderId="0" xfId="0" applyFont="1" applyFill="1" applyBorder="1" applyAlignment="1">
      <alignment horizontal="left"/>
    </xf>
    <xf numFmtId="168" fontId="6" fillId="6" borderId="4" xfId="0" applyNumberFormat="1" applyFont="1" applyFill="1" applyBorder="1"/>
    <xf numFmtId="0" fontId="6" fillId="6" borderId="6" xfId="0" applyFont="1" applyFill="1" applyBorder="1"/>
    <xf numFmtId="0" fontId="71" fillId="3" borderId="0" xfId="0" applyFont="1" applyFill="1" applyAlignment="1">
      <alignment horizontal="center"/>
    </xf>
    <xf numFmtId="167" fontId="9" fillId="3" borderId="0" xfId="0" applyNumberFormat="1" applyFont="1" applyFill="1" applyBorder="1" applyAlignment="1">
      <alignment horizontal="center"/>
    </xf>
    <xf numFmtId="0" fontId="25" fillId="3" borderId="0" xfId="0" applyFont="1" applyFill="1" applyBorder="1"/>
    <xf numFmtId="167" fontId="25" fillId="3" borderId="0" xfId="0" applyNumberFormat="1" applyFont="1" applyFill="1" applyBorder="1"/>
    <xf numFmtId="0" fontId="15" fillId="3" borderId="0" xfId="0" applyFont="1" applyFill="1" applyBorder="1"/>
    <xf numFmtId="0" fontId="8" fillId="3" borderId="0" xfId="0" applyFont="1" applyFill="1" applyBorder="1" applyAlignment="1">
      <alignment horizontal="center"/>
    </xf>
    <xf numFmtId="167" fontId="17" fillId="3" borderId="0" xfId="0" applyNumberFormat="1" applyFont="1" applyFill="1" applyBorder="1"/>
    <xf numFmtId="0" fontId="12" fillId="3" borderId="0" xfId="0" applyFont="1" applyFill="1" applyAlignment="1">
      <alignment horizontal="right"/>
    </xf>
    <xf numFmtId="0" fontId="1" fillId="3" borderId="0" xfId="0" applyFont="1" applyFill="1" applyAlignment="1">
      <alignment horizontal="left"/>
    </xf>
    <xf numFmtId="167" fontId="1" fillId="6" borderId="6" xfId="0" applyNumberFormat="1" applyFont="1" applyFill="1" applyBorder="1" applyAlignment="1">
      <alignment horizontal="center"/>
    </xf>
    <xf numFmtId="0" fontId="1" fillId="0" borderId="9" xfId="0" applyFont="1" applyFill="1" applyBorder="1" applyAlignment="1">
      <alignment horizontal="center" vertical="center"/>
    </xf>
    <xf numFmtId="0" fontId="72" fillId="6" borderId="1" xfId="0" applyFont="1" applyFill="1" applyBorder="1" applyAlignment="1">
      <alignment horizontal="center"/>
    </xf>
    <xf numFmtId="0" fontId="17" fillId="6" borderId="8" xfId="0" applyFont="1" applyFill="1" applyBorder="1" applyAlignment="1">
      <alignment horizontal="center"/>
    </xf>
    <xf numFmtId="169" fontId="66" fillId="6" borderId="36" xfId="1" applyNumberFormat="1" applyFont="1" applyFill="1" applyBorder="1"/>
    <xf numFmtId="0" fontId="17" fillId="6" borderId="6" xfId="0" applyFont="1" applyFill="1" applyBorder="1" applyAlignment="1">
      <alignment horizontal="left"/>
    </xf>
    <xf numFmtId="185" fontId="17" fillId="6" borderId="4" xfId="1" applyNumberFormat="1" applyFont="1" applyFill="1" applyBorder="1"/>
    <xf numFmtId="168" fontId="12" fillId="3" borderId="0" xfId="1" applyNumberFormat="1" applyFont="1" applyFill="1" applyBorder="1" applyAlignment="1">
      <alignment horizontal="left"/>
    </xf>
    <xf numFmtId="0" fontId="1" fillId="3" borderId="0" xfId="0" applyFont="1" applyFill="1" applyBorder="1" applyAlignment="1">
      <alignment horizontal="left"/>
    </xf>
    <xf numFmtId="167" fontId="25" fillId="5" borderId="4" xfId="0" applyNumberFormat="1" applyFont="1" applyFill="1" applyBorder="1"/>
    <xf numFmtId="0" fontId="6" fillId="5" borderId="0" xfId="0" applyFont="1" applyFill="1" applyBorder="1" applyAlignment="1">
      <alignment horizontal="center"/>
    </xf>
    <xf numFmtId="0" fontId="0" fillId="6" borderId="12" xfId="0" applyFill="1" applyBorder="1" applyAlignment="1">
      <alignment horizontal="center"/>
    </xf>
    <xf numFmtId="167" fontId="25" fillId="5" borderId="1" xfId="0" applyNumberFormat="1" applyFont="1" applyFill="1" applyBorder="1" applyAlignment="1">
      <alignment horizontal="center"/>
    </xf>
    <xf numFmtId="167" fontId="0" fillId="3" borderId="0" xfId="0" applyNumberFormat="1" applyFill="1"/>
    <xf numFmtId="167" fontId="29" fillId="3" borderId="0" xfId="0" applyNumberFormat="1" applyFont="1" applyFill="1" applyBorder="1" applyAlignment="1">
      <alignment horizontal="center"/>
    </xf>
    <xf numFmtId="167" fontId="6" fillId="10" borderId="9" xfId="0" applyNumberFormat="1" applyFont="1" applyFill="1" applyBorder="1"/>
    <xf numFmtId="167" fontId="6" fillId="10" borderId="9" xfId="0" applyNumberFormat="1" applyFont="1" applyFill="1" applyBorder="1" applyAlignment="1">
      <alignment horizontal="center"/>
    </xf>
    <xf numFmtId="167" fontId="0" fillId="4" borderId="4" xfId="0" applyNumberFormat="1" applyFill="1" applyBorder="1"/>
    <xf numFmtId="167" fontId="29" fillId="4" borderId="1" xfId="0" applyNumberFormat="1" applyFont="1" applyFill="1" applyBorder="1" applyAlignment="1">
      <alignment horizontal="center"/>
    </xf>
    <xf numFmtId="0" fontId="6" fillId="3" borderId="39" xfId="0" applyFont="1" applyFill="1" applyBorder="1"/>
    <xf numFmtId="0" fontId="15" fillId="3" borderId="39" xfId="0" applyFont="1" applyFill="1" applyBorder="1"/>
    <xf numFmtId="0" fontId="0" fillId="3" borderId="23" xfId="0" quotePrefix="1" applyFill="1" applyBorder="1"/>
    <xf numFmtId="167" fontId="0" fillId="3" borderId="0" xfId="0" applyNumberFormat="1" applyFill="1" applyBorder="1"/>
    <xf numFmtId="0" fontId="24" fillId="3" borderId="0" xfId="0" applyFont="1" applyFill="1" applyBorder="1"/>
    <xf numFmtId="0" fontId="34" fillId="4" borderId="0" xfId="0" applyFont="1" applyFill="1" applyBorder="1"/>
    <xf numFmtId="0" fontId="17" fillId="3" borderId="23" xfId="0" applyFont="1" applyFill="1" applyBorder="1"/>
    <xf numFmtId="0" fontId="17" fillId="3" borderId="0" xfId="0" applyFont="1" applyFill="1" applyAlignment="1">
      <alignment horizontal="center"/>
    </xf>
    <xf numFmtId="0" fontId="0" fillId="5" borderId="26" xfId="0" applyFill="1" applyBorder="1"/>
    <xf numFmtId="0" fontId="40" fillId="3" borderId="0" xfId="0" applyFont="1" applyFill="1"/>
    <xf numFmtId="0" fontId="74" fillId="5" borderId="0" xfId="0" applyFont="1" applyFill="1" applyAlignment="1">
      <alignment horizontal="left"/>
    </xf>
    <xf numFmtId="0" fontId="74" fillId="5" borderId="0" xfId="0" applyFont="1" applyFill="1"/>
    <xf numFmtId="0" fontId="74" fillId="5" borderId="0" xfId="0" applyFont="1" applyFill="1" applyBorder="1" applyAlignment="1">
      <alignment horizontal="left"/>
    </xf>
    <xf numFmtId="3" fontId="9" fillId="0" borderId="10" xfId="0" applyNumberFormat="1" applyFont="1" applyFill="1" applyBorder="1" applyAlignment="1">
      <alignment horizontal="center"/>
    </xf>
    <xf numFmtId="0" fontId="9" fillId="0" borderId="12" xfId="0" applyFont="1" applyFill="1" applyBorder="1" applyAlignment="1">
      <alignment horizontal="center"/>
    </xf>
    <xf numFmtId="0" fontId="8" fillId="5" borderId="36" xfId="0" applyFont="1" applyFill="1" applyBorder="1" applyAlignment="1">
      <alignment horizontal="center"/>
    </xf>
    <xf numFmtId="167" fontId="16" fillId="6" borderId="1" xfId="0" applyNumberFormat="1" applyFont="1" applyFill="1" applyBorder="1" applyAlignment="1">
      <alignment horizontal="center"/>
    </xf>
    <xf numFmtId="2" fontId="12" fillId="3" borderId="0" xfId="0" applyNumberFormat="1" applyFont="1" applyFill="1" applyBorder="1" applyAlignment="1">
      <alignment horizontal="center"/>
    </xf>
    <xf numFmtId="0" fontId="75" fillId="8" borderId="9" xfId="0" applyFont="1" applyFill="1" applyBorder="1" applyAlignment="1">
      <alignment horizontal="center"/>
    </xf>
    <xf numFmtId="0" fontId="6" fillId="8" borderId="5" xfId="0" applyFont="1" applyFill="1" applyBorder="1" applyAlignment="1">
      <alignment horizontal="center"/>
    </xf>
    <xf numFmtId="0" fontId="75" fillId="8" borderId="4" xfId="0" applyFont="1" applyFill="1" applyBorder="1" applyAlignment="1">
      <alignment horizontal="left"/>
    </xf>
    <xf numFmtId="0" fontId="29" fillId="8" borderId="9" xfId="0" applyFont="1" applyFill="1" applyBorder="1" applyAlignment="1">
      <alignment horizontal="center"/>
    </xf>
    <xf numFmtId="168" fontId="1" fillId="3" borderId="0" xfId="0" applyNumberFormat="1" applyFont="1" applyFill="1" applyBorder="1" applyAlignment="1">
      <alignment horizontal="left"/>
    </xf>
    <xf numFmtId="167" fontId="1" fillId="10" borderId="1" xfId="0" applyNumberFormat="1" applyFont="1" applyFill="1" applyBorder="1" applyAlignment="1">
      <alignment horizontal="center"/>
    </xf>
    <xf numFmtId="0" fontId="6" fillId="13" borderId="48" xfId="0" applyFont="1" applyFill="1" applyBorder="1" applyAlignment="1">
      <alignment horizontal="center"/>
    </xf>
    <xf numFmtId="0" fontId="35" fillId="13" borderId="3" xfId="0" applyFont="1" applyFill="1" applyBorder="1" applyAlignment="1">
      <alignment horizontal="center"/>
    </xf>
    <xf numFmtId="0" fontId="8" fillId="3" borderId="0" xfId="0" applyFont="1" applyFill="1" applyAlignment="1">
      <alignment horizontal="center"/>
    </xf>
    <xf numFmtId="192" fontId="29" fillId="6" borderId="4" xfId="1" applyNumberFormat="1" applyFont="1" applyFill="1" applyBorder="1"/>
    <xf numFmtId="192" fontId="0" fillId="0" borderId="9" xfId="0" applyNumberFormat="1" applyFill="1" applyBorder="1" applyAlignment="1">
      <alignment horizontal="center" vertical="center"/>
    </xf>
    <xf numFmtId="0" fontId="33" fillId="4" borderId="36" xfId="0" applyFont="1" applyFill="1" applyBorder="1"/>
    <xf numFmtId="0" fontId="1" fillId="4" borderId="36" xfId="0" applyFont="1" applyFill="1" applyBorder="1"/>
    <xf numFmtId="168" fontId="9" fillId="5" borderId="7" xfId="0" applyNumberFormat="1" applyFont="1" applyFill="1" applyBorder="1"/>
    <xf numFmtId="0" fontId="40" fillId="6" borderId="8" xfId="0" applyFont="1" applyFill="1" applyBorder="1"/>
    <xf numFmtId="0" fontId="25" fillId="5" borderId="8" xfId="0" applyFont="1" applyFill="1" applyBorder="1"/>
    <xf numFmtId="168" fontId="12" fillId="6" borderId="26" xfId="0" applyNumberFormat="1" applyFont="1" applyFill="1" applyBorder="1"/>
    <xf numFmtId="0" fontId="17" fillId="6" borderId="9" xfId="0" applyFont="1" applyFill="1" applyBorder="1" applyAlignment="1">
      <alignment horizontal="center" vertical="center"/>
    </xf>
    <xf numFmtId="169" fontId="17" fillId="6" borderId="4" xfId="1" applyNumberFormat="1" applyFont="1" applyFill="1" applyBorder="1" applyAlignment="1">
      <alignment horizontal="center" vertical="center"/>
    </xf>
    <xf numFmtId="167" fontId="77" fillId="20" borderId="0" xfId="0" applyNumberFormat="1" applyFont="1" applyFill="1" applyAlignment="1">
      <alignment horizontal="center"/>
    </xf>
    <xf numFmtId="167" fontId="77" fillId="3" borderId="0" xfId="0" applyNumberFormat="1" applyFont="1" applyFill="1" applyBorder="1" applyAlignment="1">
      <alignment horizontal="center"/>
    </xf>
    <xf numFmtId="0" fontId="12" fillId="8" borderId="9" xfId="0" applyFont="1" applyFill="1" applyBorder="1" applyAlignment="1">
      <alignment horizontal="center"/>
    </xf>
    <xf numFmtId="0" fontId="12" fillId="8" borderId="4" xfId="0" applyFont="1" applyFill="1" applyBorder="1"/>
    <xf numFmtId="2" fontId="29" fillId="6" borderId="3" xfId="0" applyNumberFormat="1" applyFont="1" applyFill="1" applyBorder="1" applyAlignment="1">
      <alignment horizontal="center"/>
    </xf>
    <xf numFmtId="165" fontId="12" fillId="21" borderId="9" xfId="0" applyNumberFormat="1" applyFont="1" applyFill="1" applyBorder="1" applyAlignment="1">
      <alignment horizontal="center"/>
    </xf>
    <xf numFmtId="2" fontId="0" fillId="21" borderId="9" xfId="0" applyNumberFormat="1" applyFill="1" applyBorder="1" applyAlignment="1">
      <alignment horizontal="center"/>
    </xf>
    <xf numFmtId="0" fontId="0" fillId="21" borderId="0" xfId="0" applyFill="1"/>
    <xf numFmtId="0" fontId="78" fillId="22" borderId="1" xfId="0" applyFont="1" applyFill="1" applyBorder="1" applyAlignment="1">
      <alignment horizontal="center"/>
    </xf>
    <xf numFmtId="0" fontId="79" fillId="23" borderId="1" xfId="0" applyFont="1" applyFill="1" applyBorder="1" applyAlignment="1">
      <alignment horizontal="center"/>
    </xf>
    <xf numFmtId="0" fontId="0" fillId="9" borderId="0" xfId="0" applyNumberFormat="1" applyFill="1" applyBorder="1"/>
    <xf numFmtId="0" fontId="0" fillId="3" borderId="0" xfId="0" applyNumberFormat="1" applyFill="1"/>
    <xf numFmtId="0" fontId="0" fillId="20" borderId="0" xfId="0" applyFill="1"/>
    <xf numFmtId="0" fontId="11" fillId="20" borderId="0" xfId="0" applyFont="1" applyFill="1"/>
    <xf numFmtId="0" fontId="14" fillId="20" borderId="0" xfId="0" applyFont="1" applyFill="1"/>
    <xf numFmtId="166" fontId="0" fillId="20" borderId="0" xfId="0" applyNumberFormat="1" applyFill="1"/>
    <xf numFmtId="167" fontId="0" fillId="20" borderId="0" xfId="0" applyNumberFormat="1" applyFill="1"/>
    <xf numFmtId="2" fontId="0" fillId="20" borderId="0" xfId="0" applyNumberFormat="1" applyFill="1"/>
    <xf numFmtId="168" fontId="0" fillId="20" borderId="0" xfId="0" applyNumberFormat="1" applyFill="1"/>
    <xf numFmtId="0" fontId="36" fillId="20" borderId="0" xfId="0" applyFont="1" applyFill="1" applyBorder="1"/>
    <xf numFmtId="0" fontId="9" fillId="20" borderId="0" xfId="0" applyFont="1" applyFill="1" applyBorder="1" applyAlignment="1">
      <alignment horizontal="center"/>
    </xf>
    <xf numFmtId="0" fontId="0" fillId="20" borderId="0" xfId="0" applyFill="1"/>
    <xf numFmtId="0" fontId="6" fillId="20" borderId="0" xfId="0" applyFont="1" applyFill="1" applyAlignment="1">
      <alignment horizontal="right"/>
    </xf>
    <xf numFmtId="0" fontId="6" fillId="20" borderId="0" xfId="0" applyFont="1" applyFill="1"/>
    <xf numFmtId="167" fontId="16" fillId="20" borderId="0" xfId="0" applyNumberFormat="1" applyFont="1" applyFill="1" applyBorder="1" applyAlignment="1">
      <alignment horizontal="center"/>
    </xf>
    <xf numFmtId="167" fontId="16" fillId="22" borderId="1" xfId="0" applyNumberFormat="1" applyFont="1" applyFill="1" applyBorder="1" applyAlignment="1">
      <alignment horizontal="center"/>
    </xf>
    <xf numFmtId="0" fontId="6" fillId="20" borderId="0" xfId="0" applyFont="1" applyFill="1" applyAlignment="1">
      <alignment horizontal="left"/>
    </xf>
    <xf numFmtId="168" fontId="16" fillId="22" borderId="1" xfId="0" applyNumberFormat="1" applyFont="1" applyFill="1" applyBorder="1" applyAlignment="1">
      <alignment horizontal="center"/>
    </xf>
    <xf numFmtId="0" fontId="15" fillId="3" borderId="1" xfId="0" quotePrefix="1" applyFont="1" applyFill="1" applyBorder="1" applyAlignment="1">
      <alignment horizontal="center" vertical="center"/>
    </xf>
    <xf numFmtId="168" fontId="1" fillId="3" borderId="0" xfId="0" applyNumberFormat="1" applyFont="1" applyFill="1" applyBorder="1" applyAlignment="1">
      <alignment horizontal="center"/>
    </xf>
    <xf numFmtId="0" fontId="0" fillId="20" borderId="0" xfId="0" applyFill="1" applyBorder="1"/>
    <xf numFmtId="0" fontId="33" fillId="5" borderId="4" xfId="0" applyFont="1" applyFill="1" applyBorder="1"/>
    <xf numFmtId="0" fontId="0" fillId="15" borderId="0" xfId="0" applyFont="1" applyFill="1" applyBorder="1"/>
    <xf numFmtId="0" fontId="0" fillId="11" borderId="0" xfId="0" applyFont="1" applyFill="1" applyBorder="1"/>
    <xf numFmtId="0" fontId="79" fillId="3" borderId="0" xfId="0" quotePrefix="1" applyFont="1" applyFill="1"/>
    <xf numFmtId="2" fontId="6" fillId="24" borderId="17" xfId="0" applyNumberFormat="1" applyFont="1" applyFill="1" applyBorder="1"/>
    <xf numFmtId="0" fontId="6" fillId="24" borderId="0" xfId="0" applyFont="1" applyFill="1" applyBorder="1"/>
    <xf numFmtId="168" fontId="6" fillId="24" borderId="0" xfId="0" applyNumberFormat="1" applyFont="1" applyFill="1" applyBorder="1"/>
    <xf numFmtId="0" fontId="0" fillId="24" borderId="0" xfId="0" applyFill="1" applyBorder="1"/>
    <xf numFmtId="0" fontId="0" fillId="24" borderId="18" xfId="0" applyFill="1" applyBorder="1"/>
    <xf numFmtId="168" fontId="6" fillId="24" borderId="17" xfId="0" applyNumberFormat="1" applyFont="1" applyFill="1" applyBorder="1"/>
    <xf numFmtId="2" fontId="6" fillId="24" borderId="0" xfId="0" applyNumberFormat="1" applyFont="1" applyFill="1" applyBorder="1"/>
    <xf numFmtId="0" fontId="80" fillId="25" borderId="0" xfId="0" applyFont="1" applyFill="1"/>
    <xf numFmtId="164" fontId="80" fillId="25" borderId="0" xfId="0" applyNumberFormat="1" applyFont="1" applyFill="1"/>
    <xf numFmtId="0" fontId="50" fillId="25" borderId="0" xfId="0" applyFont="1" applyFill="1"/>
    <xf numFmtId="0" fontId="51" fillId="25" borderId="0" xfId="0" applyFont="1" applyFill="1"/>
    <xf numFmtId="2" fontId="17" fillId="26" borderId="17" xfId="0" applyNumberFormat="1" applyFont="1" applyFill="1" applyBorder="1"/>
    <xf numFmtId="0" fontId="6" fillId="26" borderId="0" xfId="0" applyFont="1" applyFill="1" applyBorder="1"/>
    <xf numFmtId="2" fontId="17" fillId="26" borderId="0" xfId="0" applyNumberFormat="1" applyFont="1" applyFill="1" applyBorder="1"/>
    <xf numFmtId="0" fontId="11" fillId="26" borderId="0" xfId="0" applyFont="1" applyFill="1" applyBorder="1"/>
    <xf numFmtId="0" fontId="0" fillId="26" borderId="18" xfId="0" applyFill="1" applyBorder="1"/>
    <xf numFmtId="2" fontId="6" fillId="8" borderId="0" xfId="0" applyNumberFormat="1" applyFont="1" applyFill="1" applyBorder="1"/>
    <xf numFmtId="2" fontId="0" fillId="9" borderId="9" xfId="0" applyNumberFormat="1" applyFill="1" applyBorder="1" applyAlignment="1">
      <alignment horizontal="center"/>
    </xf>
    <xf numFmtId="165" fontId="12" fillId="0" borderId="9" xfId="0" applyNumberFormat="1" applyFont="1" applyFill="1" applyBorder="1" applyAlignment="1">
      <alignment horizontal="center"/>
    </xf>
    <xf numFmtId="2" fontId="0" fillId="0" borderId="10" xfId="0" applyNumberFormat="1" applyBorder="1" applyAlignment="1">
      <alignment horizontal="center"/>
    </xf>
    <xf numFmtId="0" fontId="54" fillId="27" borderId="7" xfId="0" applyFont="1" applyFill="1" applyBorder="1"/>
    <xf numFmtId="0" fontId="4" fillId="27" borderId="7" xfId="0" applyFont="1" applyFill="1" applyBorder="1"/>
    <xf numFmtId="0" fontId="4" fillId="27" borderId="7" xfId="0" applyFont="1" applyFill="1" applyBorder="1" applyAlignment="1">
      <alignment horizontal="center"/>
    </xf>
    <xf numFmtId="0" fontId="20" fillId="4" borderId="1" xfId="0" applyFont="1" applyFill="1" applyBorder="1" applyAlignment="1">
      <alignment horizontal="center"/>
    </xf>
    <xf numFmtId="0" fontId="0" fillId="5" borderId="9" xfId="0" applyFill="1" applyBorder="1"/>
    <xf numFmtId="14" fontId="0" fillId="8" borderId="9" xfId="0" applyNumberFormat="1" applyFill="1" applyBorder="1" applyAlignment="1">
      <alignment horizontal="center" vertical="center"/>
    </xf>
    <xf numFmtId="0" fontId="0" fillId="8" borderId="9" xfId="0" applyFill="1" applyBorder="1" applyAlignment="1">
      <alignment horizontal="center" vertical="center"/>
    </xf>
    <xf numFmtId="0" fontId="9" fillId="5" borderId="26" xfId="0" applyFont="1" applyFill="1" applyBorder="1"/>
    <xf numFmtId="0" fontId="9" fillId="5" borderId="4" xfId="0" applyFont="1" applyFill="1" applyBorder="1" applyAlignment="1">
      <alignment horizontal="left"/>
    </xf>
    <xf numFmtId="0" fontId="7" fillId="4" borderId="2" xfId="0" applyFont="1" applyFill="1" applyBorder="1" applyAlignment="1">
      <alignment horizontal="center"/>
    </xf>
    <xf numFmtId="0" fontId="5" fillId="4" borderId="3" xfId="0" applyFont="1" applyFill="1" applyBorder="1" applyAlignment="1">
      <alignment horizontal="center"/>
    </xf>
    <xf numFmtId="0" fontId="8" fillId="4" borderId="2" xfId="0" applyFont="1" applyFill="1" applyBorder="1" applyAlignment="1">
      <alignment horizontal="center"/>
    </xf>
    <xf numFmtId="0" fontId="7" fillId="4" borderId="3" xfId="0" applyFont="1" applyFill="1" applyBorder="1" applyAlignment="1">
      <alignment horizontal="center"/>
    </xf>
    <xf numFmtId="0" fontId="7" fillId="4" borderId="1" xfId="0" applyFont="1" applyFill="1" applyBorder="1" applyAlignment="1">
      <alignment horizontal="center"/>
    </xf>
    <xf numFmtId="0" fontId="7" fillId="4" borderId="1" xfId="0" applyFont="1" applyFill="1" applyBorder="1" applyAlignment="1">
      <alignment horizontal="center"/>
    </xf>
    <xf numFmtId="2" fontId="25" fillId="5" borderId="9" xfId="0" applyNumberFormat="1" applyFont="1" applyFill="1" applyBorder="1"/>
    <xf numFmtId="0" fontId="25" fillId="5" borderId="26" xfId="0" applyFont="1" applyFill="1" applyBorder="1" applyAlignment="1">
      <alignment horizontal="left"/>
    </xf>
    <xf numFmtId="0" fontId="82" fillId="15" borderId="0" xfId="0" applyFont="1" applyFill="1" applyBorder="1"/>
    <xf numFmtId="0" fontId="0" fillId="15" borderId="0" xfId="0" applyFill="1" applyBorder="1" applyAlignment="1">
      <alignment horizontal="left"/>
    </xf>
    <xf numFmtId="0" fontId="9" fillId="5" borderId="6" xfId="0" applyFont="1" applyFill="1" applyBorder="1"/>
    <xf numFmtId="2" fontId="0" fillId="11" borderId="0" xfId="0" applyNumberFormat="1" applyFill="1" applyBorder="1" applyAlignment="1">
      <alignment horizontal="center"/>
    </xf>
    <xf numFmtId="2" fontId="0" fillId="15" borderId="0" xfId="0" applyNumberFormat="1" applyFill="1" applyBorder="1" applyAlignment="1">
      <alignment horizontal="center"/>
    </xf>
    <xf numFmtId="168" fontId="1" fillId="10" borderId="9" xfId="0" applyNumberFormat="1" applyFont="1" applyFill="1" applyBorder="1" applyAlignment="1">
      <alignment horizontal="center"/>
    </xf>
    <xf numFmtId="0" fontId="0" fillId="15" borderId="0" xfId="0" applyFill="1" applyBorder="1" applyAlignment="1"/>
    <xf numFmtId="193" fontId="25" fillId="5" borderId="9" xfId="0" applyNumberFormat="1" applyFont="1" applyFill="1" applyBorder="1" applyAlignment="1">
      <alignment horizontal="center"/>
    </xf>
    <xf numFmtId="0" fontId="82" fillId="15" borderId="0" xfId="0" applyFont="1" applyFill="1" applyBorder="1" applyAlignment="1">
      <alignment horizontal="center"/>
    </xf>
    <xf numFmtId="2" fontId="9" fillId="5" borderId="9" xfId="0" applyNumberFormat="1" applyFont="1" applyFill="1" applyBorder="1"/>
    <xf numFmtId="0" fontId="83" fillId="15" borderId="16" xfId="0" applyFont="1" applyFill="1" applyBorder="1" applyAlignment="1">
      <alignment horizontal="right"/>
    </xf>
    <xf numFmtId="2" fontId="1" fillId="15" borderId="0" xfId="0" applyNumberFormat="1" applyFont="1" applyFill="1" applyBorder="1"/>
    <xf numFmtId="2" fontId="1" fillId="11" borderId="0" xfId="0" applyNumberFormat="1" applyFont="1" applyFill="1" applyBorder="1"/>
    <xf numFmtId="0" fontId="0" fillId="15" borderId="18" xfId="0" applyFill="1" applyBorder="1" applyAlignment="1">
      <alignment horizontal="right"/>
    </xf>
    <xf numFmtId="0" fontId="0" fillId="11" borderId="18" xfId="0" applyFill="1" applyBorder="1" applyAlignment="1">
      <alignment horizontal="right"/>
    </xf>
    <xf numFmtId="0" fontId="1" fillId="15" borderId="0" xfId="0" applyFont="1" applyFill="1" applyBorder="1"/>
    <xf numFmtId="0" fontId="1" fillId="15" borderId="0" xfId="0" applyFont="1" applyFill="1" applyBorder="1" applyAlignment="1">
      <alignment horizontal="left"/>
    </xf>
    <xf numFmtId="0" fontId="78" fillId="11" borderId="16" xfId="0" applyFont="1" applyFill="1" applyBorder="1" applyAlignment="1">
      <alignment horizontal="right"/>
    </xf>
    <xf numFmtId="167" fontId="9" fillId="5" borderId="9" xfId="0" applyNumberFormat="1" applyFont="1" applyFill="1" applyBorder="1" applyAlignment="1">
      <alignment horizontal="center"/>
    </xf>
    <xf numFmtId="193" fontId="9" fillId="5" borderId="9" xfId="0" applyNumberFormat="1" applyFont="1" applyFill="1" applyBorder="1" applyAlignment="1">
      <alignment horizontal="center"/>
    </xf>
    <xf numFmtId="173" fontId="9" fillId="11" borderId="0" xfId="0" applyNumberFormat="1" applyFont="1" applyFill="1" applyBorder="1" applyAlignment="1">
      <alignment horizontal="center"/>
    </xf>
    <xf numFmtId="0" fontId="9" fillId="11" borderId="0" xfId="0" applyFont="1" applyFill="1" applyBorder="1" applyAlignment="1">
      <alignment horizontal="left"/>
    </xf>
    <xf numFmtId="0" fontId="9" fillId="11" borderId="0" xfId="0" applyFont="1" applyFill="1" applyBorder="1" applyAlignment="1">
      <alignment horizontal="center"/>
    </xf>
    <xf numFmtId="0" fontId="6" fillId="15" borderId="0" xfId="0" quotePrefix="1" applyFont="1" applyFill="1" applyBorder="1"/>
    <xf numFmtId="0" fontId="1" fillId="15" borderId="18" xfId="0" applyFont="1" applyFill="1" applyBorder="1" applyAlignment="1">
      <alignment horizontal="right"/>
    </xf>
    <xf numFmtId="0" fontId="6" fillId="28" borderId="14" xfId="0" applyFont="1" applyFill="1" applyBorder="1"/>
    <xf numFmtId="0" fontId="0" fillId="28" borderId="15" xfId="0" applyFill="1" applyBorder="1"/>
    <xf numFmtId="0" fontId="0" fillId="28" borderId="16" xfId="0" applyFill="1" applyBorder="1"/>
    <xf numFmtId="0" fontId="0" fillId="28" borderId="17" xfId="0" applyFill="1" applyBorder="1"/>
    <xf numFmtId="0" fontId="0" fillId="28" borderId="0" xfId="0" applyFill="1" applyBorder="1"/>
    <xf numFmtId="0" fontId="0" fillId="28" borderId="18" xfId="0" applyFill="1" applyBorder="1"/>
    <xf numFmtId="0" fontId="84" fillId="28" borderId="49" xfId="0" applyFont="1" applyFill="1" applyBorder="1" applyAlignment="1">
      <alignment horizontal="center"/>
    </xf>
    <xf numFmtId="0" fontId="84" fillId="28" borderId="34" xfId="0" applyFont="1" applyFill="1" applyBorder="1" applyAlignment="1"/>
    <xf numFmtId="0" fontId="84" fillId="28" borderId="35" xfId="0" applyFont="1" applyFill="1" applyBorder="1" applyAlignment="1"/>
    <xf numFmtId="0" fontId="0" fillId="28" borderId="11" xfId="0" applyFill="1" applyBorder="1" applyAlignment="1">
      <alignment horizontal="center"/>
    </xf>
    <xf numFmtId="0" fontId="0" fillId="23" borderId="50" xfId="0" applyFill="1" applyBorder="1" applyAlignment="1"/>
    <xf numFmtId="0" fontId="0" fillId="23" borderId="43" xfId="0" applyFill="1" applyBorder="1" applyAlignment="1"/>
    <xf numFmtId="2" fontId="0" fillId="23" borderId="11" xfId="0" applyNumberFormat="1" applyFill="1" applyBorder="1" applyAlignment="1">
      <alignment horizontal="center"/>
    </xf>
    <xf numFmtId="2" fontId="0" fillId="28" borderId="11" xfId="0" applyNumberFormat="1" applyFill="1" applyBorder="1" applyAlignment="1">
      <alignment horizontal="center"/>
    </xf>
    <xf numFmtId="167" fontId="0" fillId="28" borderId="11" xfId="0" applyNumberFormat="1" applyFill="1" applyBorder="1" applyAlignment="1">
      <alignment horizontal="center"/>
    </xf>
    <xf numFmtId="0" fontId="0" fillId="23" borderId="17" xfId="0" applyFill="1" applyBorder="1" applyAlignment="1"/>
    <xf numFmtId="0" fontId="0" fillId="23" borderId="18" xfId="0" applyFill="1" applyBorder="1" applyAlignment="1"/>
    <xf numFmtId="0" fontId="0" fillId="28" borderId="49" xfId="0" applyFill="1" applyBorder="1" applyAlignment="1">
      <alignment horizontal="center"/>
    </xf>
    <xf numFmtId="0" fontId="0" fillId="23" borderId="34" xfId="0" applyFill="1" applyBorder="1" applyAlignment="1"/>
    <xf numFmtId="0" fontId="0" fillId="23" borderId="35" xfId="0" applyFill="1" applyBorder="1" applyAlignment="1"/>
    <xf numFmtId="2" fontId="0" fillId="23" borderId="49" xfId="0" applyNumberFormat="1" applyFill="1" applyBorder="1" applyAlignment="1">
      <alignment horizontal="center"/>
    </xf>
    <xf numFmtId="2" fontId="0" fillId="28" borderId="49" xfId="0" applyNumberFormat="1" applyFill="1" applyBorder="1" applyAlignment="1">
      <alignment horizontal="center"/>
    </xf>
    <xf numFmtId="167" fontId="0" fillId="28" borderId="49" xfId="0" applyNumberFormat="1" applyFill="1" applyBorder="1" applyAlignment="1">
      <alignment horizontal="center"/>
    </xf>
    <xf numFmtId="0" fontId="0" fillId="28" borderId="17" xfId="0" applyFill="1" applyBorder="1" applyAlignment="1">
      <alignment horizontal="center"/>
    </xf>
    <xf numFmtId="0" fontId="0" fillId="28" borderId="0" xfId="0" applyFill="1" applyBorder="1" applyAlignment="1"/>
    <xf numFmtId="0" fontId="0" fillId="28" borderId="0" xfId="0" applyFill="1" applyBorder="1" applyAlignment="1">
      <alignment horizontal="center"/>
    </xf>
    <xf numFmtId="0" fontId="0" fillId="28" borderId="18" xfId="0" applyFill="1" applyBorder="1" applyAlignment="1">
      <alignment horizontal="center"/>
    </xf>
    <xf numFmtId="0" fontId="0" fillId="28" borderId="19" xfId="0" applyFill="1" applyBorder="1" applyAlignment="1">
      <alignment horizontal="center"/>
    </xf>
    <xf numFmtId="0" fontId="0" fillId="28" borderId="20" xfId="0" applyFill="1" applyBorder="1" applyAlignment="1"/>
    <xf numFmtId="0" fontId="0" fillId="28" borderId="20" xfId="0" applyFill="1" applyBorder="1"/>
    <xf numFmtId="0" fontId="0" fillId="28" borderId="20" xfId="0" applyFill="1" applyBorder="1" applyAlignment="1">
      <alignment horizontal="center"/>
    </xf>
    <xf numFmtId="0" fontId="84" fillId="28" borderId="9" xfId="0" applyFont="1" applyFill="1" applyBorder="1" applyAlignment="1">
      <alignment horizontal="right"/>
    </xf>
    <xf numFmtId="1" fontId="17" fillId="22" borderId="9" xfId="0" applyNumberFormat="1" applyFont="1" applyFill="1" applyBorder="1" applyAlignment="1">
      <alignment horizontal="center"/>
    </xf>
    <xf numFmtId="2" fontId="0" fillId="28" borderId="20" xfId="0" applyNumberFormat="1" applyFill="1" applyBorder="1" applyAlignment="1">
      <alignment horizontal="center"/>
    </xf>
    <xf numFmtId="2" fontId="0" fillId="28" borderId="21" xfId="0" applyNumberFormat="1" applyFill="1" applyBorder="1" applyAlignment="1">
      <alignment horizontal="center"/>
    </xf>
    <xf numFmtId="0" fontId="6" fillId="11" borderId="0" xfId="0" quotePrefix="1" applyFont="1" applyFill="1" applyBorder="1"/>
    <xf numFmtId="0" fontId="9" fillId="11" borderId="0" xfId="0" applyFont="1" applyFill="1" applyBorder="1"/>
    <xf numFmtId="1" fontId="16" fillId="6" borderId="4" xfId="0" applyNumberFormat="1" applyFont="1" applyFill="1" applyBorder="1"/>
    <xf numFmtId="168" fontId="9" fillId="5" borderId="4" xfId="0" applyNumberFormat="1" applyFont="1" applyFill="1" applyBorder="1"/>
    <xf numFmtId="166" fontId="16" fillId="6" borderId="9" xfId="0" applyNumberFormat="1" applyFont="1" applyFill="1" applyBorder="1" applyAlignment="1">
      <alignment horizontal="center"/>
    </xf>
    <xf numFmtId="0" fontId="9" fillId="5" borderId="9" xfId="0" applyFont="1" applyFill="1" applyBorder="1"/>
    <xf numFmtId="168" fontId="9" fillId="5" borderId="9" xfId="0" applyNumberFormat="1" applyFont="1" applyFill="1" applyBorder="1"/>
    <xf numFmtId="168" fontId="9" fillId="11" borderId="0" xfId="0" applyNumberFormat="1" applyFont="1" applyFill="1" applyBorder="1"/>
    <xf numFmtId="166" fontId="9" fillId="5" borderId="9" xfId="0" applyNumberFormat="1" applyFont="1" applyFill="1" applyBorder="1"/>
    <xf numFmtId="167" fontId="0" fillId="11" borderId="0" xfId="0" applyNumberFormat="1" applyFill="1" applyBorder="1"/>
    <xf numFmtId="167" fontId="0" fillId="15" borderId="0" xfId="0" applyNumberFormat="1" applyFill="1" applyBorder="1" applyAlignment="1"/>
    <xf numFmtId="0" fontId="0" fillId="15" borderId="0" xfId="0" applyNumberFormat="1" applyFill="1" applyBorder="1" applyAlignment="1"/>
    <xf numFmtId="0" fontId="0" fillId="11" borderId="0" xfId="0" applyFill="1" applyBorder="1" applyAlignment="1"/>
    <xf numFmtId="167" fontId="29" fillId="6" borderId="9" xfId="0" applyNumberFormat="1" applyFont="1" applyFill="1" applyBorder="1" applyAlignment="1">
      <alignment horizontal="center"/>
    </xf>
    <xf numFmtId="167" fontId="16" fillId="6" borderId="9" xfId="0" applyNumberFormat="1" applyFont="1" applyFill="1" applyBorder="1" applyAlignment="1">
      <alignment horizontal="center"/>
    </xf>
    <xf numFmtId="0" fontId="34" fillId="4" borderId="26" xfId="8" applyFont="1" applyFill="1" applyBorder="1"/>
    <xf numFmtId="0" fontId="1" fillId="4" borderId="26" xfId="8" applyFill="1" applyBorder="1"/>
    <xf numFmtId="0" fontId="60" fillId="4" borderId="26" xfId="8" applyFont="1" applyFill="1" applyBorder="1"/>
    <xf numFmtId="0" fontId="1" fillId="4" borderId="0" xfId="8" applyFill="1" applyBorder="1"/>
    <xf numFmtId="0" fontId="6" fillId="4" borderId="0" xfId="8" applyFont="1" applyFill="1" applyBorder="1"/>
    <xf numFmtId="0" fontId="1" fillId="0" borderId="0" xfId="8"/>
    <xf numFmtId="0" fontId="6" fillId="3" borderId="28" xfId="8" applyFont="1" applyFill="1" applyBorder="1"/>
    <xf numFmtId="0" fontId="1" fillId="3" borderId="13" xfId="8" applyFill="1" applyBorder="1"/>
    <xf numFmtId="0" fontId="1" fillId="3" borderId="22" xfId="8" applyFill="1" applyBorder="1"/>
    <xf numFmtId="0" fontId="1" fillId="3" borderId="28" xfId="8" applyFill="1" applyBorder="1"/>
    <xf numFmtId="0" fontId="1" fillId="3" borderId="23" xfId="8" applyFill="1" applyBorder="1"/>
    <xf numFmtId="0" fontId="1" fillId="3" borderId="0" xfId="8" applyFill="1" applyBorder="1"/>
    <xf numFmtId="0" fontId="1" fillId="10" borderId="4" xfId="8" applyFill="1" applyBorder="1"/>
    <xf numFmtId="180" fontId="1" fillId="10" borderId="6" xfId="8" applyNumberFormat="1" applyFill="1" applyBorder="1" applyAlignment="1">
      <alignment horizontal="center"/>
    </xf>
    <xf numFmtId="0" fontId="1" fillId="3" borderId="24" xfId="8" applyFill="1" applyBorder="1"/>
    <xf numFmtId="0" fontId="1" fillId="3" borderId="23" xfId="8" applyFont="1" applyFill="1" applyBorder="1" applyAlignment="1">
      <alignment horizontal="center"/>
    </xf>
    <xf numFmtId="0" fontId="1" fillId="4" borderId="4" xfId="8" applyFont="1" applyFill="1" applyBorder="1" applyAlignment="1">
      <alignment horizontal="center"/>
    </xf>
    <xf numFmtId="173" fontId="1" fillId="4" borderId="6" xfId="8" applyNumberFormat="1" applyFill="1" applyBorder="1" applyAlignment="1">
      <alignment horizontal="center"/>
    </xf>
    <xf numFmtId="0" fontId="33" fillId="6" borderId="36" xfId="8" applyFont="1" applyFill="1" applyBorder="1"/>
    <xf numFmtId="173" fontId="6" fillId="6" borderId="8" xfId="8" applyNumberFormat="1" applyFont="1" applyFill="1" applyBorder="1" applyAlignment="1">
      <alignment horizontal="center"/>
    </xf>
    <xf numFmtId="0" fontId="52" fillId="3" borderId="0" xfId="8" applyFont="1" applyFill="1" applyBorder="1" applyAlignment="1">
      <alignment horizontal="left"/>
    </xf>
    <xf numFmtId="194" fontId="1" fillId="4" borderId="6" xfId="8" applyNumberFormat="1" applyFill="1" applyBorder="1" applyAlignment="1">
      <alignment horizontal="center"/>
    </xf>
    <xf numFmtId="0" fontId="1" fillId="3" borderId="0" xfId="8" applyFill="1" applyBorder="1" applyAlignment="1">
      <alignment horizontal="center"/>
    </xf>
    <xf numFmtId="0" fontId="1" fillId="3" borderId="0" xfId="8" applyFont="1" applyFill="1" applyBorder="1"/>
    <xf numFmtId="173" fontId="1" fillId="3" borderId="0" xfId="8" applyNumberFormat="1" applyFill="1" applyBorder="1" applyAlignment="1">
      <alignment horizontal="center"/>
    </xf>
    <xf numFmtId="173" fontId="17" fillId="3" borderId="0" xfId="8" applyNumberFormat="1" applyFont="1" applyFill="1" applyBorder="1" applyAlignment="1">
      <alignment horizontal="center"/>
    </xf>
    <xf numFmtId="0" fontId="16" fillId="6" borderId="9" xfId="8" applyFont="1" applyFill="1" applyBorder="1" applyAlignment="1">
      <alignment horizontal="center"/>
    </xf>
    <xf numFmtId="0" fontId="48" fillId="5" borderId="4" xfId="8" applyFont="1" applyFill="1" applyBorder="1" applyAlignment="1">
      <alignment horizontal="center"/>
    </xf>
    <xf numFmtId="181" fontId="9" fillId="5" borderId="6" xfId="4" applyNumberFormat="1" applyFont="1" applyFill="1" applyBorder="1" applyAlignment="1">
      <alignment horizontal="center"/>
    </xf>
    <xf numFmtId="0" fontId="1" fillId="3" borderId="0" xfId="8" applyFill="1" applyBorder="1" applyAlignment="1">
      <alignment horizontal="right"/>
    </xf>
    <xf numFmtId="0" fontId="1" fillId="13" borderId="4" xfId="8" applyFont="1" applyFill="1" applyBorder="1" applyAlignment="1">
      <alignment horizontal="center"/>
    </xf>
    <xf numFmtId="11" fontId="1" fillId="13" borderId="6" xfId="8" applyNumberFormat="1" applyFill="1" applyBorder="1" applyAlignment="1">
      <alignment horizontal="center"/>
    </xf>
    <xf numFmtId="0" fontId="16" fillId="3" borderId="0" xfId="8" applyFont="1" applyFill="1" applyBorder="1"/>
    <xf numFmtId="0" fontId="26" fillId="13" borderId="4" xfId="8" applyFont="1" applyFill="1" applyBorder="1" applyAlignment="1">
      <alignment horizontal="center"/>
    </xf>
    <xf numFmtId="173" fontId="1" fillId="13" borderId="6" xfId="8" applyNumberFormat="1" applyFill="1" applyBorder="1" applyAlignment="1">
      <alignment horizontal="center"/>
    </xf>
    <xf numFmtId="176" fontId="1" fillId="4" borderId="6" xfId="8" applyNumberFormat="1" applyFill="1" applyBorder="1" applyAlignment="1">
      <alignment horizontal="center"/>
    </xf>
    <xf numFmtId="195" fontId="0" fillId="4" borderId="6" xfId="1" applyNumberFormat="1" applyFont="1" applyFill="1" applyBorder="1" applyAlignment="1">
      <alignment horizontal="center"/>
    </xf>
    <xf numFmtId="175" fontId="1" fillId="4" borderId="6" xfId="8" applyNumberFormat="1" applyFill="1" applyBorder="1" applyAlignment="1">
      <alignment horizontal="center"/>
    </xf>
    <xf numFmtId="175" fontId="16" fillId="4" borderId="6" xfId="8" applyNumberFormat="1" applyFont="1" applyFill="1" applyBorder="1" applyAlignment="1">
      <alignment horizontal="center"/>
    </xf>
    <xf numFmtId="0" fontId="1" fillId="22" borderId="4" xfId="8" applyFill="1" applyBorder="1"/>
    <xf numFmtId="179" fontId="88" fillId="22" borderId="6" xfId="8" applyNumberFormat="1" applyFont="1" applyFill="1" applyBorder="1" applyAlignment="1">
      <alignment horizontal="center"/>
    </xf>
    <xf numFmtId="0" fontId="1" fillId="22" borderId="4" xfId="8" applyFont="1" applyFill="1" applyBorder="1" applyAlignment="1">
      <alignment horizontal="center"/>
    </xf>
    <xf numFmtId="196" fontId="16" fillId="22" borderId="6" xfId="8" applyNumberFormat="1" applyFont="1" applyFill="1" applyBorder="1" applyAlignment="1">
      <alignment horizontal="center"/>
    </xf>
    <xf numFmtId="178" fontId="78" fillId="22" borderId="6" xfId="8" applyNumberFormat="1" applyFont="1" applyFill="1" applyBorder="1" applyAlignment="1">
      <alignment horizontal="center"/>
    </xf>
    <xf numFmtId="0" fontId="6" fillId="3" borderId="0" xfId="8" applyFont="1" applyFill="1" applyBorder="1"/>
    <xf numFmtId="0" fontId="1" fillId="4" borderId="14" xfId="8" applyFont="1" applyFill="1" applyBorder="1" applyAlignment="1">
      <alignment horizontal="center"/>
    </xf>
    <xf numFmtId="177" fontId="1" fillId="4" borderId="16" xfId="8" applyNumberFormat="1" applyFill="1" applyBorder="1" applyAlignment="1">
      <alignment horizontal="center"/>
    </xf>
    <xf numFmtId="0" fontId="1" fillId="13" borderId="6" xfId="8" applyFill="1" applyBorder="1" applyAlignment="1">
      <alignment horizontal="center"/>
    </xf>
    <xf numFmtId="178" fontId="1" fillId="4" borderId="6" xfId="8" applyNumberFormat="1" applyFill="1" applyBorder="1" applyAlignment="1">
      <alignment horizontal="center"/>
    </xf>
    <xf numFmtId="197" fontId="1" fillId="13" borderId="6" xfId="8" applyNumberFormat="1" applyFill="1" applyBorder="1" applyAlignment="1">
      <alignment horizontal="center"/>
    </xf>
    <xf numFmtId="0" fontId="1" fillId="6" borderId="4" xfId="8" applyFill="1" applyBorder="1" applyAlignment="1">
      <alignment horizontal="center"/>
    </xf>
    <xf numFmtId="198" fontId="17" fillId="6" borderId="6" xfId="8" applyNumberFormat="1" applyFont="1" applyFill="1" applyBorder="1" applyAlignment="1">
      <alignment horizontal="center"/>
    </xf>
    <xf numFmtId="0" fontId="1" fillId="4" borderId="4" xfId="8" applyFill="1" applyBorder="1"/>
    <xf numFmtId="198" fontId="1" fillId="4" borderId="6" xfId="8" applyNumberFormat="1" applyFill="1" applyBorder="1" applyAlignment="1">
      <alignment horizontal="center"/>
    </xf>
    <xf numFmtId="177" fontId="1" fillId="4" borderId="6" xfId="8" applyNumberFormat="1" applyFill="1" applyBorder="1" applyAlignment="1">
      <alignment horizontal="center"/>
    </xf>
    <xf numFmtId="175" fontId="78" fillId="4" borderId="6" xfId="8" applyNumberFormat="1" applyFont="1" applyFill="1" applyBorder="1" applyAlignment="1">
      <alignment horizontal="center"/>
    </xf>
    <xf numFmtId="177" fontId="1" fillId="13" borderId="6" xfId="8" applyNumberFormat="1" applyFill="1" applyBorder="1" applyAlignment="1">
      <alignment horizontal="center"/>
    </xf>
    <xf numFmtId="198" fontId="88" fillId="22" borderId="6" xfId="8" applyNumberFormat="1" applyFont="1" applyFill="1" applyBorder="1" applyAlignment="1">
      <alignment horizontal="center"/>
    </xf>
    <xf numFmtId="195" fontId="1" fillId="4" borderId="6" xfId="8" applyNumberFormat="1" applyFill="1" applyBorder="1" applyAlignment="1">
      <alignment horizontal="center"/>
    </xf>
    <xf numFmtId="0" fontId="1" fillId="13" borderId="4" xfId="8" applyFont="1" applyFill="1" applyBorder="1"/>
    <xf numFmtId="0" fontId="26" fillId="13" borderId="4" xfId="8" applyFont="1" applyFill="1" applyBorder="1"/>
    <xf numFmtId="0" fontId="1" fillId="6" borderId="36" xfId="8" applyFill="1" applyBorder="1"/>
    <xf numFmtId="0" fontId="1" fillId="3" borderId="25" xfId="8" applyFill="1" applyBorder="1"/>
    <xf numFmtId="0" fontId="1" fillId="3" borderId="26" xfId="8" applyFill="1" applyBorder="1"/>
    <xf numFmtId="0" fontId="1" fillId="3" borderId="27" xfId="8" applyFill="1" applyBorder="1"/>
    <xf numFmtId="199" fontId="78" fillId="22" borderId="6" xfId="8" applyNumberFormat="1" applyFont="1" applyFill="1" applyBorder="1" applyAlignment="1">
      <alignment horizontal="center"/>
    </xf>
    <xf numFmtId="0" fontId="33" fillId="4" borderId="4" xfId="8" applyFont="1" applyFill="1" applyBorder="1" applyAlignment="1">
      <alignment horizontal="center"/>
    </xf>
    <xf numFmtId="200" fontId="78" fillId="22" borderId="6" xfId="8" applyNumberFormat="1" applyFont="1" applyFill="1" applyBorder="1" applyAlignment="1">
      <alignment horizontal="center"/>
    </xf>
    <xf numFmtId="200" fontId="1" fillId="4" borderId="6" xfId="8" applyNumberFormat="1" applyFill="1" applyBorder="1" applyAlignment="1">
      <alignment horizontal="center"/>
    </xf>
    <xf numFmtId="0" fontId="1" fillId="11" borderId="18" xfId="0" applyFont="1" applyFill="1" applyBorder="1" applyAlignment="1">
      <alignment horizontal="right"/>
    </xf>
    <xf numFmtId="0" fontId="0" fillId="10" borderId="15" xfId="0" applyFill="1" applyBorder="1" applyAlignment="1">
      <alignment horizontal="center"/>
    </xf>
    <xf numFmtId="0" fontId="6" fillId="4" borderId="36" xfId="0" applyFont="1" applyFill="1" applyBorder="1" applyAlignment="1">
      <alignment horizontal="center"/>
    </xf>
    <xf numFmtId="0" fontId="6" fillId="4" borderId="7" xfId="0" applyFont="1" applyFill="1" applyBorder="1" applyAlignment="1">
      <alignment horizontal="center"/>
    </xf>
    <xf numFmtId="0" fontId="6" fillId="4" borderId="8" xfId="0" applyFont="1" applyFill="1" applyBorder="1" applyAlignment="1">
      <alignment horizontal="center"/>
    </xf>
    <xf numFmtId="0" fontId="5" fillId="4" borderId="36" xfId="0" applyFont="1" applyFill="1" applyBorder="1" applyAlignment="1">
      <alignment horizontal="center"/>
    </xf>
    <xf numFmtId="0" fontId="5" fillId="4" borderId="8" xfId="0" applyFont="1" applyFill="1" applyBorder="1" applyAlignment="1">
      <alignment horizontal="center"/>
    </xf>
    <xf numFmtId="0" fontId="85" fillId="11" borderId="14" xfId="2" applyFont="1" applyFill="1" applyBorder="1" applyAlignment="1" applyProtection="1"/>
    <xf numFmtId="0" fontId="85" fillId="11" borderId="15" xfId="2" applyFont="1" applyFill="1" applyBorder="1" applyAlignment="1" applyProtection="1"/>
    <xf numFmtId="0" fontId="85" fillId="15" borderId="14" xfId="2" applyFont="1" applyFill="1" applyBorder="1" applyAlignment="1" applyProtection="1"/>
    <xf numFmtId="0" fontId="85" fillId="15" borderId="15" xfId="2" applyFont="1" applyFill="1" applyBorder="1" applyAlignment="1" applyProtection="1"/>
    <xf numFmtId="0" fontId="1" fillId="3" borderId="0" xfId="8" applyFill="1" applyBorder="1" applyAlignment="1"/>
    <xf numFmtId="0" fontId="1" fillId="3" borderId="15" xfId="8" applyFill="1" applyBorder="1" applyAlignment="1">
      <alignment horizontal="center"/>
    </xf>
    <xf numFmtId="0" fontId="1" fillId="4" borderId="14" xfId="8" applyFont="1" applyFill="1" applyBorder="1" applyAlignment="1">
      <alignment horizontal="center"/>
    </xf>
    <xf numFmtId="0" fontId="1" fillId="4" borderId="16" xfId="8" applyFill="1" applyBorder="1" applyAlignment="1">
      <alignment horizontal="center"/>
    </xf>
    <xf numFmtId="0" fontId="1" fillId="3" borderId="23" xfId="8" applyFont="1" applyFill="1" applyBorder="1" applyAlignment="1">
      <alignment horizontal="center"/>
    </xf>
    <xf numFmtId="0" fontId="1" fillId="3" borderId="18" xfId="8" applyFont="1" applyFill="1" applyBorder="1" applyAlignment="1">
      <alignment horizontal="center"/>
    </xf>
    <xf numFmtId="0" fontId="1" fillId="4" borderId="19" xfId="8" applyFill="1" applyBorder="1" applyAlignment="1">
      <alignment horizontal="center"/>
    </xf>
    <xf numFmtId="0" fontId="1" fillId="4" borderId="21" xfId="8" applyFill="1" applyBorder="1" applyAlignment="1">
      <alignment horizontal="center"/>
    </xf>
    <xf numFmtId="173" fontId="88" fillId="4" borderId="19" xfId="8" applyNumberFormat="1" applyFont="1" applyFill="1" applyBorder="1" applyAlignment="1">
      <alignment horizontal="center"/>
    </xf>
    <xf numFmtId="173" fontId="88" fillId="4" borderId="21" xfId="8" applyNumberFormat="1" applyFont="1" applyFill="1" applyBorder="1" applyAlignment="1">
      <alignment horizontal="center"/>
    </xf>
    <xf numFmtId="0" fontId="1" fillId="3" borderId="0" xfId="8" applyFill="1" applyBorder="1" applyAlignment="1">
      <alignment horizontal="left"/>
    </xf>
    <xf numFmtId="0" fontId="1" fillId="3" borderId="15" xfId="8" applyFont="1" applyFill="1" applyBorder="1" applyAlignment="1">
      <alignment horizontal="center"/>
    </xf>
    <xf numFmtId="0" fontId="1" fillId="3" borderId="0" xfId="8" applyFill="1" applyBorder="1" applyAlignment="1">
      <alignment horizontal="center"/>
    </xf>
    <xf numFmtId="0" fontId="1" fillId="4" borderId="16" xfId="8" applyFont="1" applyFill="1" applyBorder="1" applyAlignment="1">
      <alignment horizontal="center"/>
    </xf>
    <xf numFmtId="173" fontId="17" fillId="4" borderId="19" xfId="8" applyNumberFormat="1" applyFont="1" applyFill="1" applyBorder="1" applyAlignment="1">
      <alignment horizontal="center"/>
    </xf>
    <xf numFmtId="173" fontId="17" fillId="4" borderId="21" xfId="8" applyNumberFormat="1" applyFont="1" applyFill="1" applyBorder="1" applyAlignment="1">
      <alignment horizontal="center"/>
    </xf>
    <xf numFmtId="0" fontId="17" fillId="3" borderId="29" xfId="8" applyFont="1" applyFill="1" applyBorder="1" applyAlignment="1">
      <alignment horizontal="center"/>
    </xf>
    <xf numFmtId="0" fontId="6" fillId="12" borderId="4" xfId="8" applyFont="1" applyFill="1" applyBorder="1" applyAlignment="1">
      <alignment horizontal="center"/>
    </xf>
    <xf numFmtId="0" fontId="5" fillId="12" borderId="6" xfId="8" applyFont="1" applyFill="1" applyBorder="1" applyAlignment="1">
      <alignment horizontal="center"/>
    </xf>
    <xf numFmtId="0" fontId="6" fillId="12" borderId="6" xfId="8" applyFont="1" applyFill="1" applyBorder="1" applyAlignment="1">
      <alignment horizontal="center"/>
    </xf>
  </cellXfs>
  <cellStyles count="9">
    <cellStyle name="Comma" xfId="1" builtinId="3"/>
    <cellStyle name="Comma 2" xfId="7" xr:uid="{64259C32-8125-4290-A323-622663A9A552}"/>
    <cellStyle name="Hyperlink" xfId="2" builtinId="8"/>
    <cellStyle name="Hyperlink 2" xfId="5" xr:uid="{00000000-0005-0000-0000-000032000000}"/>
    <cellStyle name="Normal" xfId="0" builtinId="0"/>
    <cellStyle name="Normal 2" xfId="8" xr:uid="{DFF28BCB-DD83-4C23-A57D-40F6F1BEDCA8}"/>
    <cellStyle name="Normal_Orbital Parameters" xfId="3" xr:uid="{00000000-0005-0000-0000-000003000000}"/>
    <cellStyle name="Percent" xfId="4" builtinId="5"/>
    <cellStyle name="Percent 2" xfId="6" xr:uid="{E0899CF5-522A-4311-86F1-4F60FCF2BAFB}"/>
  </cellStyles>
  <dxfs count="12">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ont>
        <condense val="0"/>
        <extend val="0"/>
        <color indexed="10"/>
      </font>
      <fill>
        <patternFill>
          <bgColor indexed="10"/>
        </patternFill>
      </fill>
    </dxf>
    <dxf>
      <font>
        <condense val="0"/>
        <extend val="0"/>
        <color indexed="11"/>
      </font>
      <fill>
        <patternFill>
          <bgColor indexed="11"/>
        </patternFill>
      </fill>
    </dxf>
    <dxf>
      <fill>
        <patternFill>
          <bgColor indexed="10"/>
        </patternFill>
      </fill>
    </dxf>
    <dxf>
      <fill>
        <patternFill>
          <bgColor indexed="11"/>
        </patternFill>
      </fill>
    </dxf>
    <dxf>
      <fill>
        <patternFill>
          <bgColor indexed="10"/>
        </patternFill>
      </fill>
    </dxf>
    <dxf>
      <font>
        <condense val="0"/>
        <extend val="0"/>
        <color auto="1"/>
      </font>
      <fill>
        <patternFill>
          <bgColor indexed="11"/>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2.8754023514484653E-2"/>
          <c:y val="2.2613065326633167E-2"/>
          <c:w val="0.96485723348604058"/>
          <c:h val="0.92211055276381915"/>
        </c:manualLayout>
      </c:layout>
      <c:scatterChart>
        <c:scatterStyle val="smoothMarker"/>
        <c:varyColors val="0"/>
        <c:ser>
          <c:idx val="0"/>
          <c:order val="0"/>
          <c:spPr>
            <a:ln w="38100">
              <a:solidFill>
                <a:srgbClr val="008080"/>
              </a:solidFill>
              <a:prstDash val="solid"/>
            </a:ln>
          </c:spPr>
          <c:marker>
            <c:symbol val="none"/>
          </c:marker>
          <c:xVal>
            <c:numRef>
              <c:f>'Orbit Shape Data'!$C$3:$C$79</c:f>
              <c:numCache>
                <c:formatCode>General</c:formatCode>
                <c:ptCount val="77"/>
                <c:pt idx="0">
                  <c:v>-1.9</c:v>
                </c:pt>
                <c:pt idx="1">
                  <c:v>-1.8499999999999999</c:v>
                </c:pt>
                <c:pt idx="2">
                  <c:v>-1.7999999999999998</c:v>
                </c:pt>
                <c:pt idx="3">
                  <c:v>-1.7499999999999998</c:v>
                </c:pt>
                <c:pt idx="4">
                  <c:v>-1.6999999999999997</c:v>
                </c:pt>
                <c:pt idx="5">
                  <c:v>-1.6499999999999997</c:v>
                </c:pt>
                <c:pt idx="6">
                  <c:v>-1.5999999999999996</c:v>
                </c:pt>
                <c:pt idx="7">
                  <c:v>-1.5499999999999996</c:v>
                </c:pt>
                <c:pt idx="8">
                  <c:v>-1.4999999999999996</c:v>
                </c:pt>
                <c:pt idx="9">
                  <c:v>-1.4499999999999995</c:v>
                </c:pt>
                <c:pt idx="10">
                  <c:v>-1.3999999999999995</c:v>
                </c:pt>
                <c:pt idx="11">
                  <c:v>-1.3499999999999994</c:v>
                </c:pt>
                <c:pt idx="12">
                  <c:v>-1.2999999999999994</c:v>
                </c:pt>
                <c:pt idx="13">
                  <c:v>-1.2499999999999993</c:v>
                </c:pt>
                <c:pt idx="14">
                  <c:v>-1.1999999999999993</c:v>
                </c:pt>
                <c:pt idx="15">
                  <c:v>-1.1499999999999992</c:v>
                </c:pt>
                <c:pt idx="16">
                  <c:v>-1.0999999999999992</c:v>
                </c:pt>
                <c:pt idx="17">
                  <c:v>-1.0499999999999992</c:v>
                </c:pt>
                <c:pt idx="18">
                  <c:v>-0.99999999999999911</c:v>
                </c:pt>
                <c:pt idx="19">
                  <c:v>-0.94999999999999907</c:v>
                </c:pt>
                <c:pt idx="20">
                  <c:v>-0.89999999999999902</c:v>
                </c:pt>
                <c:pt idx="21">
                  <c:v>-0.84999999999999898</c:v>
                </c:pt>
                <c:pt idx="22">
                  <c:v>-0.79999999999999893</c:v>
                </c:pt>
                <c:pt idx="23">
                  <c:v>-0.74999999999999889</c:v>
                </c:pt>
                <c:pt idx="24">
                  <c:v>-0.69999999999999885</c:v>
                </c:pt>
                <c:pt idx="25">
                  <c:v>-0.6499999999999988</c:v>
                </c:pt>
                <c:pt idx="26">
                  <c:v>-0.59999999999999876</c:v>
                </c:pt>
                <c:pt idx="27">
                  <c:v>-0.54999999999999871</c:v>
                </c:pt>
                <c:pt idx="28">
                  <c:v>-0.49999999999999872</c:v>
                </c:pt>
                <c:pt idx="29">
                  <c:v>-0.44999999999999873</c:v>
                </c:pt>
                <c:pt idx="30">
                  <c:v>-0.39999999999999875</c:v>
                </c:pt>
                <c:pt idx="31">
                  <c:v>-0.34999999999999876</c:v>
                </c:pt>
                <c:pt idx="32">
                  <c:v>-0.29999999999999877</c:v>
                </c:pt>
                <c:pt idx="33">
                  <c:v>-0.24999999999999878</c:v>
                </c:pt>
                <c:pt idx="34">
                  <c:v>-0.19999999999999879</c:v>
                </c:pt>
                <c:pt idx="35">
                  <c:v>-0.1499999999999988</c:v>
                </c:pt>
                <c:pt idx="36">
                  <c:v>-9.9999999999998798E-2</c:v>
                </c:pt>
                <c:pt idx="37">
                  <c:v>-4.9999999999998795E-2</c:v>
                </c:pt>
                <c:pt idx="38">
                  <c:v>0</c:v>
                </c:pt>
                <c:pt idx="39">
                  <c:v>0.05</c:v>
                </c:pt>
                <c:pt idx="40">
                  <c:v>0.1</c:v>
                </c:pt>
                <c:pt idx="41">
                  <c:v>0.15000000000000002</c:v>
                </c:pt>
                <c:pt idx="42">
                  <c:v>0.2</c:v>
                </c:pt>
                <c:pt idx="43">
                  <c:v>0.25</c:v>
                </c:pt>
                <c:pt idx="44">
                  <c:v>0.3</c:v>
                </c:pt>
                <c:pt idx="45">
                  <c:v>0.35</c:v>
                </c:pt>
                <c:pt idx="46">
                  <c:v>0.39999999999999997</c:v>
                </c:pt>
                <c:pt idx="47">
                  <c:v>0.44999999999999996</c:v>
                </c:pt>
                <c:pt idx="48">
                  <c:v>0.49999999999999994</c:v>
                </c:pt>
                <c:pt idx="49">
                  <c:v>0.54999999999999993</c:v>
                </c:pt>
                <c:pt idx="50">
                  <c:v>0.6</c:v>
                </c:pt>
                <c:pt idx="51">
                  <c:v>0.65</c:v>
                </c:pt>
                <c:pt idx="52">
                  <c:v>0.70000000000000007</c:v>
                </c:pt>
                <c:pt idx="53">
                  <c:v>0.75000000000000011</c:v>
                </c:pt>
                <c:pt idx="54">
                  <c:v>0.80000000000000016</c:v>
                </c:pt>
                <c:pt idx="55">
                  <c:v>0.8500000000000002</c:v>
                </c:pt>
                <c:pt idx="56">
                  <c:v>0.90000000000000024</c:v>
                </c:pt>
                <c:pt idx="57">
                  <c:v>0.95000000000000029</c:v>
                </c:pt>
                <c:pt idx="58">
                  <c:v>1.0000000000000002</c:v>
                </c:pt>
                <c:pt idx="59">
                  <c:v>1.0500000000000003</c:v>
                </c:pt>
                <c:pt idx="60">
                  <c:v>1.1000000000000003</c:v>
                </c:pt>
                <c:pt idx="61">
                  <c:v>1.1500000000000004</c:v>
                </c:pt>
                <c:pt idx="62">
                  <c:v>1.2000000000000004</c:v>
                </c:pt>
                <c:pt idx="63">
                  <c:v>1.2500000000000004</c:v>
                </c:pt>
                <c:pt idx="64">
                  <c:v>1.3000000000000005</c:v>
                </c:pt>
                <c:pt idx="65">
                  <c:v>1.3500000000000005</c:v>
                </c:pt>
                <c:pt idx="66">
                  <c:v>1.4000000000000006</c:v>
                </c:pt>
                <c:pt idx="67">
                  <c:v>1.4500000000000006</c:v>
                </c:pt>
                <c:pt idx="68">
                  <c:v>1.5000000000000007</c:v>
                </c:pt>
                <c:pt idx="69">
                  <c:v>1.5500000000000007</c:v>
                </c:pt>
                <c:pt idx="70">
                  <c:v>1.6000000000000008</c:v>
                </c:pt>
                <c:pt idx="71">
                  <c:v>1.6500000000000008</c:v>
                </c:pt>
                <c:pt idx="72">
                  <c:v>1.7000000000000008</c:v>
                </c:pt>
                <c:pt idx="73">
                  <c:v>1.7500000000000009</c:v>
                </c:pt>
                <c:pt idx="74">
                  <c:v>1.8000000000000009</c:v>
                </c:pt>
                <c:pt idx="75">
                  <c:v>1.850000000000001</c:v>
                </c:pt>
                <c:pt idx="76">
                  <c:v>1.900000000000001</c:v>
                </c:pt>
              </c:numCache>
            </c:numRef>
          </c:xVal>
          <c:yVal>
            <c:numRef>
              <c:f>'Orbit Shape Data'!$B$3:$B$79</c:f>
              <c:numCache>
                <c:formatCode>General</c:formatCode>
                <c:ptCount val="77"/>
                <c:pt idx="0">
                  <c:v>3.5199431813596083</c:v>
                </c:pt>
                <c:pt idx="1">
                  <c:v>3.5464771252610667</c:v>
                </c:pt>
                <c:pt idx="2">
                  <c:v>3.5721142198983507</c:v>
                </c:pt>
                <c:pt idx="3">
                  <c:v>3.5968736424845398</c:v>
                </c:pt>
                <c:pt idx="4">
                  <c:v>3.6207733980463348</c:v>
                </c:pt>
                <c:pt idx="5">
                  <c:v>3.6438304022004102</c:v>
                </c:pt>
                <c:pt idx="6">
                  <c:v>3.6660605559646724</c:v>
                </c:pt>
                <c:pt idx="7">
                  <c:v>3.6874788134984584</c:v>
                </c:pt>
                <c:pt idx="8">
                  <c:v>3.7080992435478319</c:v>
                </c:pt>
                <c:pt idx="9">
                  <c:v>3.7279350852717381</c:v>
                </c:pt>
                <c:pt idx="10">
                  <c:v>3.746998799039039</c:v>
                </c:pt>
                <c:pt idx="11">
                  <c:v>3.7653021127128699</c:v>
                </c:pt>
                <c:pt idx="12">
                  <c:v>3.7828560638755477</c:v>
                </c:pt>
                <c:pt idx="13">
                  <c:v>3.799671038392666</c:v>
                </c:pt>
                <c:pt idx="14">
                  <c:v>3.8157568056677831</c:v>
                </c:pt>
                <c:pt idx="15">
                  <c:v>3.8311225508981051</c:v>
                </c:pt>
                <c:pt idx="16">
                  <c:v>3.8457769046058825</c:v>
                </c:pt>
                <c:pt idx="17">
                  <c:v>3.8597279696890556</c:v>
                </c:pt>
                <c:pt idx="18">
                  <c:v>3.872983346207417</c:v>
                </c:pt>
                <c:pt idx="19">
                  <c:v>3.885550154096586</c:v>
                </c:pt>
                <c:pt idx="20">
                  <c:v>3.8974350539810154</c:v>
                </c:pt>
                <c:pt idx="21">
                  <c:v>3.9086442662386149</c:v>
                </c:pt>
                <c:pt idx="22">
                  <c:v>3.9191835884530852</c:v>
                </c:pt>
                <c:pt idx="23">
                  <c:v>3.9290584113754279</c:v>
                </c:pt>
                <c:pt idx="24">
                  <c:v>3.9382737335030433</c:v>
                </c:pt>
                <c:pt idx="25">
                  <c:v>3.9468341743731776</c:v>
                </c:pt>
                <c:pt idx="26">
                  <c:v>3.954743986657038</c:v>
                </c:pt>
                <c:pt idx="27">
                  <c:v>3.9620070671315064</c:v>
                </c:pt>
                <c:pt idx="28">
                  <c:v>3.9686269665968861</c:v>
                </c:pt>
                <c:pt idx="29">
                  <c:v>3.97460689880144</c:v>
                </c:pt>
                <c:pt idx="30">
                  <c:v>3.9799497484264799</c:v>
                </c:pt>
                <c:pt idx="31">
                  <c:v>3.9846580781793564</c:v>
                </c:pt>
                <c:pt idx="32">
                  <c:v>3.9887341350358261</c:v>
                </c:pt>
                <c:pt idx="33">
                  <c:v>3.9921798556678278</c:v>
                </c:pt>
                <c:pt idx="34">
                  <c:v>3.9949968710876358</c:v>
                </c:pt>
                <c:pt idx="35">
                  <c:v>3.9971865105346285</c:v>
                </c:pt>
                <c:pt idx="36">
                  <c:v>3.9987498046264411</c:v>
                </c:pt>
                <c:pt idx="37">
                  <c:v>3.999687487792015</c:v>
                </c:pt>
                <c:pt idx="38" formatCode="0.000000">
                  <c:v>4</c:v>
                </c:pt>
                <c:pt idx="39">
                  <c:v>3.999687487792015</c:v>
                </c:pt>
                <c:pt idx="40">
                  <c:v>3.9987498046264411</c:v>
                </c:pt>
                <c:pt idx="41">
                  <c:v>3.9971865105346285</c:v>
                </c:pt>
                <c:pt idx="42">
                  <c:v>3.9949968710876358</c:v>
                </c:pt>
                <c:pt idx="43">
                  <c:v>3.9921798556678278</c:v>
                </c:pt>
                <c:pt idx="44">
                  <c:v>3.9887341350358261</c:v>
                </c:pt>
                <c:pt idx="45">
                  <c:v>3.9846580781793559</c:v>
                </c:pt>
                <c:pt idx="46">
                  <c:v>3.9799497484264799</c:v>
                </c:pt>
                <c:pt idx="47">
                  <c:v>3.97460689880144</c:v>
                </c:pt>
                <c:pt idx="48">
                  <c:v>3.9686269665968861</c:v>
                </c:pt>
                <c:pt idx="49">
                  <c:v>3.9620070671315064</c:v>
                </c:pt>
                <c:pt idx="50">
                  <c:v>3.954743986657038</c:v>
                </c:pt>
                <c:pt idx="51">
                  <c:v>3.9468341743731772</c:v>
                </c:pt>
                <c:pt idx="52">
                  <c:v>3.9382737335030433</c:v>
                </c:pt>
                <c:pt idx="53">
                  <c:v>3.9290584113754279</c:v>
                </c:pt>
                <c:pt idx="54">
                  <c:v>3.9191835884530848</c:v>
                </c:pt>
                <c:pt idx="55">
                  <c:v>3.9086442662386149</c:v>
                </c:pt>
                <c:pt idx="56">
                  <c:v>3.8974350539810154</c:v>
                </c:pt>
                <c:pt idx="57">
                  <c:v>3.8855501540965856</c:v>
                </c:pt>
                <c:pt idx="58">
                  <c:v>3.872983346207417</c:v>
                </c:pt>
                <c:pt idx="59">
                  <c:v>3.8597279696890556</c:v>
                </c:pt>
                <c:pt idx="60">
                  <c:v>3.8457769046058821</c:v>
                </c:pt>
                <c:pt idx="61">
                  <c:v>3.8311225508981046</c:v>
                </c:pt>
                <c:pt idx="62">
                  <c:v>3.8157568056677826</c:v>
                </c:pt>
                <c:pt idx="63">
                  <c:v>3.7996710383926655</c:v>
                </c:pt>
                <c:pt idx="64">
                  <c:v>3.7828560638755473</c:v>
                </c:pt>
                <c:pt idx="65">
                  <c:v>3.7653021127128694</c:v>
                </c:pt>
                <c:pt idx="66">
                  <c:v>3.746998799039039</c:v>
                </c:pt>
                <c:pt idx="67">
                  <c:v>3.7279350852717377</c:v>
                </c:pt>
                <c:pt idx="68">
                  <c:v>3.708099243547831</c:v>
                </c:pt>
                <c:pt idx="69">
                  <c:v>3.6874788134984584</c:v>
                </c:pt>
                <c:pt idx="70">
                  <c:v>3.6660605559646715</c:v>
                </c:pt>
                <c:pt idx="71">
                  <c:v>3.6438304022004093</c:v>
                </c:pt>
                <c:pt idx="72">
                  <c:v>3.6207733980463344</c:v>
                </c:pt>
                <c:pt idx="73">
                  <c:v>3.5968736424845393</c:v>
                </c:pt>
                <c:pt idx="74">
                  <c:v>3.5721142198983498</c:v>
                </c:pt>
                <c:pt idx="75">
                  <c:v>3.5464771252610663</c:v>
                </c:pt>
                <c:pt idx="76">
                  <c:v>3.5199431813596078</c:v>
                </c:pt>
              </c:numCache>
            </c:numRef>
          </c:yVal>
          <c:smooth val="1"/>
          <c:extLst>
            <c:ext xmlns:c16="http://schemas.microsoft.com/office/drawing/2014/chart" uri="{C3380CC4-5D6E-409C-BE32-E72D297353CC}">
              <c16:uniqueId val="{00000000-11DE-422E-A5BF-0070BCFD866D}"/>
            </c:ext>
          </c:extLst>
        </c:ser>
        <c:ser>
          <c:idx val="1"/>
          <c:order val="1"/>
          <c:spPr>
            <a:ln w="25400">
              <a:solidFill>
                <a:srgbClr val="0000D4"/>
              </a:solidFill>
              <a:prstDash val="solid"/>
            </a:ln>
          </c:spPr>
          <c:marker>
            <c:symbol val="none"/>
          </c:marker>
          <c:xVal>
            <c:numRef>
              <c:f>'Orbit Shape Data'!$F$3:$F$79</c:f>
              <c:numCache>
                <c:formatCode>General</c:formatCode>
                <c:ptCount val="77"/>
                <c:pt idx="0">
                  <c:v>-1.9</c:v>
                </c:pt>
                <c:pt idx="1">
                  <c:v>-1.8499999999999999</c:v>
                </c:pt>
                <c:pt idx="2">
                  <c:v>-1.7999999999999998</c:v>
                </c:pt>
                <c:pt idx="3">
                  <c:v>-1.7499999999999998</c:v>
                </c:pt>
                <c:pt idx="4">
                  <c:v>-1.6999999999999997</c:v>
                </c:pt>
                <c:pt idx="5">
                  <c:v>-1.6499999999999997</c:v>
                </c:pt>
                <c:pt idx="6">
                  <c:v>-1.5999999999999996</c:v>
                </c:pt>
                <c:pt idx="7">
                  <c:v>-1.5499999999999996</c:v>
                </c:pt>
                <c:pt idx="8">
                  <c:v>-1.4999999999999996</c:v>
                </c:pt>
                <c:pt idx="9">
                  <c:v>-1.4499999999999995</c:v>
                </c:pt>
                <c:pt idx="10">
                  <c:v>-1.3999999999999995</c:v>
                </c:pt>
                <c:pt idx="11">
                  <c:v>-1.3499999999999994</c:v>
                </c:pt>
                <c:pt idx="12">
                  <c:v>-1.2999999999999994</c:v>
                </c:pt>
                <c:pt idx="13">
                  <c:v>-1.2499999999999993</c:v>
                </c:pt>
                <c:pt idx="14">
                  <c:v>-1.1999999999999993</c:v>
                </c:pt>
                <c:pt idx="15">
                  <c:v>-1.1499999999999992</c:v>
                </c:pt>
                <c:pt idx="16">
                  <c:v>-1.0999999999999992</c:v>
                </c:pt>
                <c:pt idx="17">
                  <c:v>-1.0499999999999992</c:v>
                </c:pt>
                <c:pt idx="18">
                  <c:v>-0.99999999999999911</c:v>
                </c:pt>
                <c:pt idx="19">
                  <c:v>-0.94999999999999907</c:v>
                </c:pt>
                <c:pt idx="20">
                  <c:v>-0.89999999999999902</c:v>
                </c:pt>
                <c:pt idx="21">
                  <c:v>-0.84999999999999898</c:v>
                </c:pt>
                <c:pt idx="22">
                  <c:v>-0.79999999999999893</c:v>
                </c:pt>
                <c:pt idx="23">
                  <c:v>-0.74999999999999889</c:v>
                </c:pt>
                <c:pt idx="24">
                  <c:v>-0.69999999999999885</c:v>
                </c:pt>
                <c:pt idx="25">
                  <c:v>-0.6499999999999988</c:v>
                </c:pt>
                <c:pt idx="26">
                  <c:v>-0.59999999999999876</c:v>
                </c:pt>
                <c:pt idx="27">
                  <c:v>-0.54999999999999871</c:v>
                </c:pt>
                <c:pt idx="28">
                  <c:v>-0.49999999999999872</c:v>
                </c:pt>
                <c:pt idx="29">
                  <c:v>-0.44999999999999873</c:v>
                </c:pt>
                <c:pt idx="30">
                  <c:v>-0.39999999999999875</c:v>
                </c:pt>
                <c:pt idx="31">
                  <c:v>-0.34999999999999876</c:v>
                </c:pt>
                <c:pt idx="32">
                  <c:v>-0.29999999999999877</c:v>
                </c:pt>
                <c:pt idx="33">
                  <c:v>-0.24999999999999878</c:v>
                </c:pt>
                <c:pt idx="34">
                  <c:v>-0.19999999999999879</c:v>
                </c:pt>
                <c:pt idx="35">
                  <c:v>-0.1499999999999988</c:v>
                </c:pt>
                <c:pt idx="36">
                  <c:v>-9.9999999999998798E-2</c:v>
                </c:pt>
                <c:pt idx="37">
                  <c:v>-4.9999999999998795E-2</c:v>
                </c:pt>
                <c:pt idx="38">
                  <c:v>0</c:v>
                </c:pt>
                <c:pt idx="39">
                  <c:v>0.05</c:v>
                </c:pt>
                <c:pt idx="40">
                  <c:v>0.1</c:v>
                </c:pt>
                <c:pt idx="41">
                  <c:v>0.15000000000000002</c:v>
                </c:pt>
                <c:pt idx="42">
                  <c:v>0.2</c:v>
                </c:pt>
                <c:pt idx="43">
                  <c:v>0.25</c:v>
                </c:pt>
                <c:pt idx="44">
                  <c:v>0.3</c:v>
                </c:pt>
                <c:pt idx="45">
                  <c:v>0.35</c:v>
                </c:pt>
                <c:pt idx="46">
                  <c:v>0.39999999999999997</c:v>
                </c:pt>
                <c:pt idx="47">
                  <c:v>0.44999999999999996</c:v>
                </c:pt>
                <c:pt idx="48">
                  <c:v>0.49999999999999994</c:v>
                </c:pt>
                <c:pt idx="49">
                  <c:v>0.54999999999999993</c:v>
                </c:pt>
                <c:pt idx="50">
                  <c:v>0.6</c:v>
                </c:pt>
                <c:pt idx="51">
                  <c:v>0.65</c:v>
                </c:pt>
                <c:pt idx="52">
                  <c:v>0.70000000000000007</c:v>
                </c:pt>
                <c:pt idx="53">
                  <c:v>0.75000000000000011</c:v>
                </c:pt>
                <c:pt idx="54">
                  <c:v>0.80000000000000016</c:v>
                </c:pt>
                <c:pt idx="55">
                  <c:v>0.8500000000000002</c:v>
                </c:pt>
                <c:pt idx="56">
                  <c:v>0.90000000000000024</c:v>
                </c:pt>
                <c:pt idx="57">
                  <c:v>0.95000000000000029</c:v>
                </c:pt>
                <c:pt idx="58">
                  <c:v>1.0000000000000002</c:v>
                </c:pt>
                <c:pt idx="59">
                  <c:v>1.0500000000000003</c:v>
                </c:pt>
                <c:pt idx="60">
                  <c:v>1.1000000000000003</c:v>
                </c:pt>
                <c:pt idx="61">
                  <c:v>1.1500000000000004</c:v>
                </c:pt>
                <c:pt idx="62">
                  <c:v>1.2000000000000004</c:v>
                </c:pt>
                <c:pt idx="63">
                  <c:v>1.2500000000000004</c:v>
                </c:pt>
                <c:pt idx="64">
                  <c:v>1.3000000000000005</c:v>
                </c:pt>
                <c:pt idx="65">
                  <c:v>1.3500000000000005</c:v>
                </c:pt>
                <c:pt idx="66">
                  <c:v>1.4000000000000006</c:v>
                </c:pt>
                <c:pt idx="67">
                  <c:v>1.4500000000000006</c:v>
                </c:pt>
                <c:pt idx="68">
                  <c:v>1.5000000000000007</c:v>
                </c:pt>
                <c:pt idx="69">
                  <c:v>1.5500000000000007</c:v>
                </c:pt>
                <c:pt idx="70">
                  <c:v>1.6000000000000008</c:v>
                </c:pt>
                <c:pt idx="71">
                  <c:v>1.6500000000000008</c:v>
                </c:pt>
                <c:pt idx="72">
                  <c:v>1.7000000000000008</c:v>
                </c:pt>
                <c:pt idx="73">
                  <c:v>1.7500000000000009</c:v>
                </c:pt>
                <c:pt idx="74">
                  <c:v>1.8000000000000009</c:v>
                </c:pt>
                <c:pt idx="75">
                  <c:v>1.850000000000001</c:v>
                </c:pt>
                <c:pt idx="76">
                  <c:v>1.900000000000001</c:v>
                </c:pt>
              </c:numCache>
            </c:numRef>
          </c:xVal>
          <c:yVal>
            <c:numRef>
              <c:f>'Orbit Shape Data'!$E$3:$E$79</c:f>
              <c:numCache>
                <c:formatCode>General</c:formatCode>
                <c:ptCount val="77"/>
                <c:pt idx="0">
                  <c:v>3.5745629103430252</c:v>
                </c:pt>
                <c:pt idx="1">
                  <c:v>3.6</c:v>
                </c:pt>
                <c:pt idx="2">
                  <c:v>3.6245689398878866</c:v>
                </c:pt>
                <c:pt idx="3">
                  <c:v>3.6482872693909401</c:v>
                </c:pt>
                <c:pt idx="4">
                  <c:v>3.6711714751561253</c:v>
                </c:pt>
                <c:pt idx="5">
                  <c:v>3.6932370625238775</c:v>
                </c:pt>
                <c:pt idx="6">
                  <c:v>3.7144986202716512</c:v>
                </c:pt>
                <c:pt idx="7">
                  <c:v>3.73496987939662</c:v>
                </c:pt>
                <c:pt idx="8">
                  <c:v>3.7546637665708498</c:v>
                </c:pt>
                <c:pt idx="9">
                  <c:v>3.7735924528226414</c:v>
                </c:pt>
                <c:pt idx="10">
                  <c:v>3.7917673979293616</c:v>
                </c:pt>
                <c:pt idx="11">
                  <c:v>3.8091993909481823</c:v>
                </c:pt>
                <c:pt idx="12">
                  <c:v>3.8258985872602533</c:v>
                </c:pt>
                <c:pt idx="13">
                  <c:v>3.8418745424597094</c:v>
                </c:pt>
                <c:pt idx="14">
                  <c:v>3.8571362433805731</c:v>
                </c:pt>
                <c:pt idx="15">
                  <c:v>3.871692136521188</c:v>
                </c:pt>
                <c:pt idx="16">
                  <c:v>3.8855501540965856</c:v>
                </c:pt>
                <c:pt idx="17">
                  <c:v>3.8987177379235858</c:v>
                </c:pt>
                <c:pt idx="18">
                  <c:v>3.9112018613208908</c:v>
                </c:pt>
                <c:pt idx="19">
                  <c:v>3.9230090491866063</c:v>
                </c:pt>
                <c:pt idx="20">
                  <c:v>3.9341453963980539</c:v>
                </c:pt>
                <c:pt idx="21">
                  <c:v>3.944616584663204</c:v>
                </c:pt>
                <c:pt idx="22">
                  <c:v>3.9544278979392202</c:v>
                </c:pt>
                <c:pt idx="23">
                  <c:v>3.963584236521283</c:v>
                </c:pt>
                <c:pt idx="24">
                  <c:v>3.9720901298938323</c:v>
                </c:pt>
                <c:pt idx="25" formatCode="0.000000">
                  <c:v>3.9799497484264799</c:v>
                </c:pt>
                <c:pt idx="26">
                  <c:v>3.987166913987926</c:v>
                </c:pt>
                <c:pt idx="27">
                  <c:v>3.993745109543172</c:v>
                </c:pt>
                <c:pt idx="28">
                  <c:v>3.999687487792015</c:v>
                </c:pt>
                <c:pt idx="29">
                  <c:v>4.0049968789001573</c:v>
                </c:pt>
                <c:pt idx="30">
                  <c:v>4.0096757973681614</c:v>
                </c:pt>
                <c:pt idx="31">
                  <c:v>4.0137264480778958</c:v>
                </c:pt>
                <c:pt idx="32">
                  <c:v>4.0171507315509087</c:v>
                </c:pt>
                <c:pt idx="33">
                  <c:v>4.0199502484483558</c:v>
                </c:pt>
                <c:pt idx="34">
                  <c:v>4.0221263033375765</c:v>
                </c:pt>
                <c:pt idx="35">
                  <c:v>4.0236799077461418</c:v>
                </c:pt>
                <c:pt idx="36">
                  <c:v>4.0246117825201475</c:v>
                </c:pt>
                <c:pt idx="37">
                  <c:v>4.0249223594996213</c:v>
                </c:pt>
                <c:pt idx="38">
                  <c:v>4.0249223594996213</c:v>
                </c:pt>
                <c:pt idx="39">
                  <c:v>4.0246117825201475</c:v>
                </c:pt>
                <c:pt idx="40">
                  <c:v>4.0236799077461418</c:v>
                </c:pt>
                <c:pt idx="41">
                  <c:v>4.0221263033375765</c:v>
                </c:pt>
                <c:pt idx="42">
                  <c:v>4.0199502484483558</c:v>
                </c:pt>
                <c:pt idx="43">
                  <c:v>4.0171507315509087</c:v>
                </c:pt>
                <c:pt idx="44">
                  <c:v>4.0137264480778958</c:v>
                </c:pt>
                <c:pt idx="45">
                  <c:v>4.0096757973681614</c:v>
                </c:pt>
                <c:pt idx="46">
                  <c:v>4.0049968789001573</c:v>
                </c:pt>
                <c:pt idx="47">
                  <c:v>3.999687487792015</c:v>
                </c:pt>
                <c:pt idx="48">
                  <c:v>3.9937451095431715</c:v>
                </c:pt>
                <c:pt idx="49">
                  <c:v>3.9871669139879256</c:v>
                </c:pt>
                <c:pt idx="50">
                  <c:v>3.9799497484264799</c:v>
                </c:pt>
                <c:pt idx="51">
                  <c:v>3.9720901298938323</c:v>
                </c:pt>
                <c:pt idx="52">
                  <c:v>3.9635842365212826</c:v>
                </c:pt>
                <c:pt idx="53">
                  <c:v>3.9544278979392202</c:v>
                </c:pt>
                <c:pt idx="54">
                  <c:v>3.944616584663204</c:v>
                </c:pt>
                <c:pt idx="55">
                  <c:v>3.9341453963980535</c:v>
                </c:pt>
                <c:pt idx="56">
                  <c:v>3.9230090491866059</c:v>
                </c:pt>
                <c:pt idx="57">
                  <c:v>3.9112018613208908</c:v>
                </c:pt>
                <c:pt idx="58">
                  <c:v>3.8987177379235853</c:v>
                </c:pt>
                <c:pt idx="59">
                  <c:v>3.8855501540965856</c:v>
                </c:pt>
                <c:pt idx="60">
                  <c:v>3.8716921365211876</c:v>
                </c:pt>
                <c:pt idx="61">
                  <c:v>3.8571362433805727</c:v>
                </c:pt>
                <c:pt idx="62">
                  <c:v>3.8418745424597089</c:v>
                </c:pt>
                <c:pt idx="63">
                  <c:v>3.8258985872602529</c:v>
                </c:pt>
                <c:pt idx="64">
                  <c:v>3.8091993909481818</c:v>
                </c:pt>
                <c:pt idx="65">
                  <c:v>3.7917673979293611</c:v>
                </c:pt>
                <c:pt idx="66">
                  <c:v>3.7735924528226414</c:v>
                </c:pt>
                <c:pt idx="67">
                  <c:v>3.7546637665708493</c:v>
                </c:pt>
                <c:pt idx="68">
                  <c:v>3.7349698793966195</c:v>
                </c:pt>
                <c:pt idx="69">
                  <c:v>3.7144986202716508</c:v>
                </c:pt>
                <c:pt idx="70">
                  <c:v>3.6932370625238771</c:v>
                </c:pt>
                <c:pt idx="71">
                  <c:v>3.6711714751561244</c:v>
                </c:pt>
                <c:pt idx="72">
                  <c:v>3.6482872693909396</c:v>
                </c:pt>
                <c:pt idx="73">
                  <c:v>3.6245689398878862</c:v>
                </c:pt>
                <c:pt idx="74">
                  <c:v>3.5999999999999992</c:v>
                </c:pt>
                <c:pt idx="75">
                  <c:v>3.5745629103430248</c:v>
                </c:pt>
                <c:pt idx="76">
                  <c:v>3.5482389998420336</c:v>
                </c:pt>
              </c:numCache>
            </c:numRef>
          </c:yVal>
          <c:smooth val="1"/>
          <c:extLst>
            <c:ext xmlns:c16="http://schemas.microsoft.com/office/drawing/2014/chart" uri="{C3380CC4-5D6E-409C-BE32-E72D297353CC}">
              <c16:uniqueId val="{00000001-11DE-422E-A5BF-0070BCFD866D}"/>
            </c:ext>
          </c:extLst>
        </c:ser>
        <c:dLbls>
          <c:showLegendKey val="0"/>
          <c:showVal val="0"/>
          <c:showCatName val="0"/>
          <c:showSerName val="0"/>
          <c:showPercent val="0"/>
          <c:showBubbleSize val="0"/>
        </c:dLbls>
        <c:axId val="280895264"/>
        <c:axId val="1"/>
      </c:scatterChart>
      <c:valAx>
        <c:axId val="280895264"/>
        <c:scaling>
          <c:orientation val="minMax"/>
          <c:max val="0.3"/>
          <c:min val="-0.3"/>
        </c:scaling>
        <c:delete val="1"/>
        <c:axPos val="b"/>
        <c:numFmt formatCode="General" sourceLinked="1"/>
        <c:majorTickMark val="out"/>
        <c:minorTickMark val="none"/>
        <c:tickLblPos val="nextTo"/>
        <c:crossAx val="1"/>
        <c:crossesAt val="3.95"/>
        <c:crossBetween val="midCat"/>
      </c:valAx>
      <c:valAx>
        <c:axId val="1"/>
        <c:scaling>
          <c:orientation val="minMax"/>
          <c:max val="4.03"/>
          <c:min val="3.98"/>
        </c:scaling>
        <c:delete val="1"/>
        <c:axPos val="l"/>
        <c:numFmt formatCode="General" sourceLinked="1"/>
        <c:majorTickMark val="out"/>
        <c:minorTickMark val="none"/>
        <c:tickLblPos val="nextTo"/>
        <c:crossAx val="280895264"/>
        <c:crosses val="autoZero"/>
        <c:crossBetween val="midCat"/>
        <c:majorUnit val="0.01"/>
        <c:minorUnit val="2E-3"/>
      </c:valAx>
      <c:spPr>
        <a:solidFill>
          <a:srgbClr val="C0C0C0"/>
        </a:solidFill>
        <a:ln w="12700">
          <a:solidFill>
            <a:srgbClr val="808080"/>
          </a:solidFill>
          <a:prstDash val="solid"/>
        </a:ln>
      </c:spPr>
    </c:plotArea>
    <c:plotVisOnly val="1"/>
    <c:dispBlanksAs val="gap"/>
    <c:showDLblsOverMax val="0"/>
  </c:chart>
  <c:spPr>
    <a:solidFill>
      <a:srgbClr val="969696"/>
    </a:solidFill>
    <a:ln w="3175">
      <a:solidFill>
        <a:srgbClr val="000000"/>
      </a:solidFill>
      <a:prstDash val="solid"/>
    </a:ln>
  </c:spPr>
  <c:txPr>
    <a:bodyPr/>
    <a:lstStyle/>
    <a:p>
      <a:pPr>
        <a:defRPr sz="12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250" b="1" i="0" u="none" strike="noStrike" baseline="0">
                <a:solidFill>
                  <a:srgbClr val="000000"/>
                </a:solidFill>
                <a:latin typeface="Arial"/>
                <a:ea typeface="Arial"/>
                <a:cs typeface="Arial"/>
              </a:defRPr>
            </a:pPr>
            <a:r>
              <a:rPr lang="en-US"/>
              <a:t>Turnstyle Gain in RHCP and LHCP</a:t>
            </a:r>
          </a:p>
        </c:rich>
      </c:tx>
      <c:layout>
        <c:manualLayout>
          <c:xMode val="edge"/>
          <c:yMode val="edge"/>
          <c:x val="0.15577185204790578"/>
          <c:y val="7.1427895160399539E-3"/>
        </c:manualLayout>
      </c:layout>
      <c:overlay val="0"/>
      <c:spPr>
        <a:noFill/>
        <a:ln w="25400">
          <a:noFill/>
        </a:ln>
      </c:spPr>
    </c:title>
    <c:autoTitleDeleted val="0"/>
    <c:plotArea>
      <c:layout>
        <c:manualLayout>
          <c:layoutTarget val="inner"/>
          <c:xMode val="edge"/>
          <c:yMode val="edge"/>
          <c:x val="0.28789986091794156"/>
          <c:y val="0.29571449198834543"/>
          <c:w val="0.42559109874826145"/>
          <c:h val="0.43714316206972803"/>
        </c:manualLayout>
      </c:layout>
      <c:radarChart>
        <c:radarStyle val="marker"/>
        <c:varyColors val="0"/>
        <c:ser>
          <c:idx val="1"/>
          <c:order val="0"/>
          <c:tx>
            <c:v>RHCP Gain</c:v>
          </c:tx>
          <c:spPr>
            <a:ln w="38100">
              <a:solidFill>
                <a:srgbClr val="0000D4"/>
              </a:solidFill>
              <a:prstDash val="solid"/>
            </a:ln>
          </c:spPr>
          <c:marker>
            <c:symbol val="none"/>
          </c:marker>
          <c:cat>
            <c:numRef>
              <c:f>'Antenna Patterns'!$C$99:$C$170</c:f>
              <c:numCache>
                <c:formatCode>General</c:formatCode>
                <c:ptCount val="7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numCache>
            </c:numRef>
          </c:cat>
          <c:val>
            <c:numRef>
              <c:f>'Antenna Patterns'!$D$99:$D$171</c:f>
              <c:numCache>
                <c:formatCode>0.0</c:formatCode>
                <c:ptCount val="73"/>
                <c:pt idx="0">
                  <c:v>2</c:v>
                </c:pt>
                <c:pt idx="1">
                  <c:v>1.98125</c:v>
                </c:pt>
                <c:pt idx="2">
                  <c:v>1.925</c:v>
                </c:pt>
                <c:pt idx="3">
                  <c:v>1.83125</c:v>
                </c:pt>
                <c:pt idx="4">
                  <c:v>1.7</c:v>
                </c:pt>
                <c:pt idx="5">
                  <c:v>1.53125</c:v>
                </c:pt>
                <c:pt idx="6">
                  <c:v>1.325</c:v>
                </c:pt>
                <c:pt idx="7">
                  <c:v>1.0812499999999998</c:v>
                </c:pt>
                <c:pt idx="8">
                  <c:v>0.8</c:v>
                </c:pt>
                <c:pt idx="9">
                  <c:v>0.48124999999999996</c:v>
                </c:pt>
                <c:pt idx="10">
                  <c:v>0.125</c:v>
                </c:pt>
                <c:pt idx="11">
                  <c:v>-0.26875000000000027</c:v>
                </c:pt>
                <c:pt idx="12">
                  <c:v>-0.70000000000000018</c:v>
                </c:pt>
                <c:pt idx="13">
                  <c:v>-1.1687500000000002</c:v>
                </c:pt>
                <c:pt idx="14">
                  <c:v>-1.6750000000000003</c:v>
                </c:pt>
                <c:pt idx="15">
                  <c:v>-2.21875</c:v>
                </c:pt>
                <c:pt idx="16">
                  <c:v>-2.8</c:v>
                </c:pt>
                <c:pt idx="17">
                  <c:v>-3.4187500000000002</c:v>
                </c:pt>
                <c:pt idx="18">
                  <c:v>-4.0750000000000002</c:v>
                </c:pt>
                <c:pt idx="19">
                  <c:v>-4.7687499999999998</c:v>
                </c:pt>
                <c:pt idx="20">
                  <c:v>-5.5</c:v>
                </c:pt>
                <c:pt idx="21">
                  <c:v>-6.2687500000000007</c:v>
                </c:pt>
                <c:pt idx="22">
                  <c:v>-7.0750000000000011</c:v>
                </c:pt>
                <c:pt idx="23">
                  <c:v>-7.9187500000000011</c:v>
                </c:pt>
                <c:pt idx="24">
                  <c:v>-8.8000000000000007</c:v>
                </c:pt>
                <c:pt idx="25">
                  <c:v>-9.71875</c:v>
                </c:pt>
                <c:pt idx="26">
                  <c:v>-10.675000000000001</c:v>
                </c:pt>
                <c:pt idx="27">
                  <c:v>-11.668750000000001</c:v>
                </c:pt>
                <c:pt idx="28">
                  <c:v>-12.700000000000001</c:v>
                </c:pt>
                <c:pt idx="29">
                  <c:v>-13.768750000000001</c:v>
                </c:pt>
                <c:pt idx="30">
                  <c:v>-14.875</c:v>
                </c:pt>
                <c:pt idx="31">
                  <c:v>-16.018750000000001</c:v>
                </c:pt>
                <c:pt idx="32">
                  <c:v>-17.2</c:v>
                </c:pt>
                <c:pt idx="33">
                  <c:v>-18.418749999999999</c:v>
                </c:pt>
                <c:pt idx="34">
                  <c:v>-19.675000000000001</c:v>
                </c:pt>
                <c:pt idx="35">
                  <c:v>-20.96875</c:v>
                </c:pt>
                <c:pt idx="36">
                  <c:v>-22.3</c:v>
                </c:pt>
                <c:pt idx="37">
                  <c:v>-20.96875</c:v>
                </c:pt>
                <c:pt idx="38">
                  <c:v>-19.675000000000001</c:v>
                </c:pt>
                <c:pt idx="39">
                  <c:v>-18.418749999999999</c:v>
                </c:pt>
                <c:pt idx="40">
                  <c:v>-17.2</c:v>
                </c:pt>
                <c:pt idx="41">
                  <c:v>-16.018750000000001</c:v>
                </c:pt>
                <c:pt idx="42">
                  <c:v>-14.875</c:v>
                </c:pt>
                <c:pt idx="43">
                  <c:v>-13.768750000000001</c:v>
                </c:pt>
                <c:pt idx="44">
                  <c:v>-12.700000000000001</c:v>
                </c:pt>
                <c:pt idx="45">
                  <c:v>-11.668750000000001</c:v>
                </c:pt>
                <c:pt idx="46">
                  <c:v>-10.675000000000001</c:v>
                </c:pt>
                <c:pt idx="47">
                  <c:v>-9.71875</c:v>
                </c:pt>
                <c:pt idx="48">
                  <c:v>-8.8000000000000007</c:v>
                </c:pt>
                <c:pt idx="49">
                  <c:v>-7.9187500000000011</c:v>
                </c:pt>
                <c:pt idx="50">
                  <c:v>-7.0750000000000011</c:v>
                </c:pt>
                <c:pt idx="51">
                  <c:v>-6.2687500000000007</c:v>
                </c:pt>
                <c:pt idx="52">
                  <c:v>-5.5</c:v>
                </c:pt>
                <c:pt idx="53">
                  <c:v>-4.7687499999999998</c:v>
                </c:pt>
                <c:pt idx="54">
                  <c:v>-4.0750000000000002</c:v>
                </c:pt>
                <c:pt idx="55">
                  <c:v>-3.4187500000000002</c:v>
                </c:pt>
                <c:pt idx="56">
                  <c:v>-2.8</c:v>
                </c:pt>
                <c:pt idx="57">
                  <c:v>-2.21875</c:v>
                </c:pt>
                <c:pt idx="58">
                  <c:v>-1.6750000000000003</c:v>
                </c:pt>
                <c:pt idx="59">
                  <c:v>-1.1687500000000002</c:v>
                </c:pt>
                <c:pt idx="60">
                  <c:v>-0.70000000000000018</c:v>
                </c:pt>
                <c:pt idx="61">
                  <c:v>-0.26875000000000027</c:v>
                </c:pt>
                <c:pt idx="62">
                  <c:v>0.125</c:v>
                </c:pt>
                <c:pt idx="63">
                  <c:v>0.48124999999999996</c:v>
                </c:pt>
                <c:pt idx="64">
                  <c:v>0.8</c:v>
                </c:pt>
                <c:pt idx="65">
                  <c:v>1.0812499999999998</c:v>
                </c:pt>
                <c:pt idx="66">
                  <c:v>1.325</c:v>
                </c:pt>
                <c:pt idx="67">
                  <c:v>1.53125</c:v>
                </c:pt>
                <c:pt idx="68">
                  <c:v>1.7</c:v>
                </c:pt>
                <c:pt idx="69">
                  <c:v>1.83125</c:v>
                </c:pt>
                <c:pt idx="70">
                  <c:v>1.925</c:v>
                </c:pt>
                <c:pt idx="71">
                  <c:v>1.98125</c:v>
                </c:pt>
                <c:pt idx="72">
                  <c:v>2</c:v>
                </c:pt>
              </c:numCache>
            </c:numRef>
          </c:val>
          <c:extLst>
            <c:ext xmlns:c16="http://schemas.microsoft.com/office/drawing/2014/chart" uri="{C3380CC4-5D6E-409C-BE32-E72D297353CC}">
              <c16:uniqueId val="{00000000-DD3B-4315-B319-77897EB6DBB2}"/>
            </c:ext>
          </c:extLst>
        </c:ser>
        <c:ser>
          <c:idx val="2"/>
          <c:order val="1"/>
          <c:tx>
            <c:v>LHCP Gain</c:v>
          </c:tx>
          <c:spPr>
            <a:ln w="38100">
              <a:solidFill>
                <a:srgbClr val="DD0806"/>
              </a:solidFill>
              <a:prstDash val="solid"/>
            </a:ln>
          </c:spPr>
          <c:marker>
            <c:symbol val="none"/>
          </c:marker>
          <c:cat>
            <c:numRef>
              <c:f>'Antenna Patterns'!$C$99:$C$170</c:f>
              <c:numCache>
                <c:formatCode>General</c:formatCode>
                <c:ptCount val="7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numCache>
            </c:numRef>
          </c:cat>
          <c:val>
            <c:numRef>
              <c:f>'Antenna Patterns'!$E$99:$E$171</c:f>
              <c:numCache>
                <c:formatCode>0.0</c:formatCode>
                <c:ptCount val="73"/>
                <c:pt idx="0">
                  <c:v>-23.8</c:v>
                </c:pt>
                <c:pt idx="1">
                  <c:v>-22.46875</c:v>
                </c:pt>
                <c:pt idx="2">
                  <c:v>-21.175000000000001</c:v>
                </c:pt>
                <c:pt idx="3">
                  <c:v>-19.918749999999999</c:v>
                </c:pt>
                <c:pt idx="4">
                  <c:v>-18.7</c:v>
                </c:pt>
                <c:pt idx="5">
                  <c:v>-17.518750000000001</c:v>
                </c:pt>
                <c:pt idx="6">
                  <c:v>-16.375</c:v>
                </c:pt>
                <c:pt idx="7">
                  <c:v>-15.268750000000001</c:v>
                </c:pt>
                <c:pt idx="8">
                  <c:v>-14.200000000000001</c:v>
                </c:pt>
                <c:pt idx="9">
                  <c:v>-13.168750000000001</c:v>
                </c:pt>
                <c:pt idx="10">
                  <c:v>-12.175000000000001</c:v>
                </c:pt>
                <c:pt idx="11">
                  <c:v>-11.21875</c:v>
                </c:pt>
                <c:pt idx="12">
                  <c:v>-10.3</c:v>
                </c:pt>
                <c:pt idx="13">
                  <c:v>-9.4187500000000011</c:v>
                </c:pt>
                <c:pt idx="14">
                  <c:v>-8.5750000000000011</c:v>
                </c:pt>
                <c:pt idx="15">
                  <c:v>-7.7687500000000007</c:v>
                </c:pt>
                <c:pt idx="16">
                  <c:v>-7</c:v>
                </c:pt>
                <c:pt idx="17">
                  <c:v>-6.2687499999999998</c:v>
                </c:pt>
                <c:pt idx="18">
                  <c:v>-5.5750000000000002</c:v>
                </c:pt>
                <c:pt idx="19">
                  <c:v>-4.9187500000000002</c:v>
                </c:pt>
                <c:pt idx="20">
                  <c:v>-4.3</c:v>
                </c:pt>
                <c:pt idx="21">
                  <c:v>-3.71875</c:v>
                </c:pt>
                <c:pt idx="22">
                  <c:v>-3.1750000000000003</c:v>
                </c:pt>
                <c:pt idx="23">
                  <c:v>-2.6687500000000002</c:v>
                </c:pt>
                <c:pt idx="24">
                  <c:v>-2.2000000000000002</c:v>
                </c:pt>
                <c:pt idx="25">
                  <c:v>-1.7687500000000003</c:v>
                </c:pt>
                <c:pt idx="26">
                  <c:v>-1.375</c:v>
                </c:pt>
                <c:pt idx="27">
                  <c:v>-1.01875</c:v>
                </c:pt>
                <c:pt idx="28">
                  <c:v>-0.7</c:v>
                </c:pt>
                <c:pt idx="29">
                  <c:v>-0.41875000000000007</c:v>
                </c:pt>
                <c:pt idx="30">
                  <c:v>-0.17500000000000004</c:v>
                </c:pt>
                <c:pt idx="31">
                  <c:v>3.125E-2</c:v>
                </c:pt>
                <c:pt idx="32">
                  <c:v>0.2</c:v>
                </c:pt>
                <c:pt idx="33">
                  <c:v>0.33124999999999999</c:v>
                </c:pt>
                <c:pt idx="34">
                  <c:v>0.42499999999999999</c:v>
                </c:pt>
                <c:pt idx="35" formatCode="0.00">
                  <c:v>0.48125000000000001</c:v>
                </c:pt>
                <c:pt idx="36">
                  <c:v>0.5</c:v>
                </c:pt>
                <c:pt idx="37" formatCode="0.00">
                  <c:v>0.48125000000000001</c:v>
                </c:pt>
                <c:pt idx="38" formatCode="0.00">
                  <c:v>0.42499999999999999</c:v>
                </c:pt>
                <c:pt idx="39" formatCode="0.00">
                  <c:v>0.33124999999999999</c:v>
                </c:pt>
                <c:pt idx="40" formatCode="0.00">
                  <c:v>0.2</c:v>
                </c:pt>
                <c:pt idx="41" formatCode="0.00">
                  <c:v>3.125E-2</c:v>
                </c:pt>
                <c:pt idx="42" formatCode="0.00">
                  <c:v>-0.17500000000000004</c:v>
                </c:pt>
                <c:pt idx="43" formatCode="0.00">
                  <c:v>-0.41875000000000007</c:v>
                </c:pt>
                <c:pt idx="44" formatCode="0.00">
                  <c:v>-0.7</c:v>
                </c:pt>
                <c:pt idx="45" formatCode="0.00">
                  <c:v>-1.01875</c:v>
                </c:pt>
                <c:pt idx="46" formatCode="0.00">
                  <c:v>-1.375</c:v>
                </c:pt>
                <c:pt idx="47" formatCode="0.00">
                  <c:v>-1.7687500000000003</c:v>
                </c:pt>
                <c:pt idx="48" formatCode="0.00">
                  <c:v>-2.2000000000000002</c:v>
                </c:pt>
                <c:pt idx="49" formatCode="0.00">
                  <c:v>-2.6687500000000002</c:v>
                </c:pt>
                <c:pt idx="50" formatCode="0.00">
                  <c:v>-3.1750000000000003</c:v>
                </c:pt>
                <c:pt idx="51" formatCode="0.00">
                  <c:v>-3.71875</c:v>
                </c:pt>
                <c:pt idx="52" formatCode="0.00">
                  <c:v>-4.3</c:v>
                </c:pt>
                <c:pt idx="53" formatCode="0.00">
                  <c:v>-4.9187500000000002</c:v>
                </c:pt>
                <c:pt idx="54" formatCode="0.00">
                  <c:v>-5.5750000000000002</c:v>
                </c:pt>
                <c:pt idx="55" formatCode="0.00">
                  <c:v>-6.2687499999999998</c:v>
                </c:pt>
                <c:pt idx="56" formatCode="0.00">
                  <c:v>-7</c:v>
                </c:pt>
                <c:pt idx="57" formatCode="0.00">
                  <c:v>-7.7687500000000007</c:v>
                </c:pt>
                <c:pt idx="58" formatCode="0.00">
                  <c:v>-8.5750000000000011</c:v>
                </c:pt>
                <c:pt idx="59" formatCode="0.00">
                  <c:v>-9.4187500000000011</c:v>
                </c:pt>
                <c:pt idx="60" formatCode="0.00">
                  <c:v>-10.3</c:v>
                </c:pt>
                <c:pt idx="61" formatCode="0.00">
                  <c:v>-11.21875</c:v>
                </c:pt>
                <c:pt idx="62" formatCode="0.00">
                  <c:v>-12.175000000000001</c:v>
                </c:pt>
                <c:pt idx="63" formatCode="0.00">
                  <c:v>-13.168750000000001</c:v>
                </c:pt>
                <c:pt idx="64" formatCode="0.00">
                  <c:v>-14.200000000000001</c:v>
                </c:pt>
                <c:pt idx="65" formatCode="0.00">
                  <c:v>-15.268750000000001</c:v>
                </c:pt>
                <c:pt idx="66" formatCode="0.00">
                  <c:v>-16.375</c:v>
                </c:pt>
                <c:pt idx="67" formatCode="0.00">
                  <c:v>-17.518750000000001</c:v>
                </c:pt>
                <c:pt idx="68" formatCode="0.00">
                  <c:v>-18.7</c:v>
                </c:pt>
                <c:pt idx="69" formatCode="0.00">
                  <c:v>-19.918749999999999</c:v>
                </c:pt>
                <c:pt idx="70" formatCode="0.00">
                  <c:v>-21.175000000000001</c:v>
                </c:pt>
                <c:pt idx="71" formatCode="0.00">
                  <c:v>-22.46875</c:v>
                </c:pt>
                <c:pt idx="72" formatCode="0.00">
                  <c:v>-23.8</c:v>
                </c:pt>
              </c:numCache>
            </c:numRef>
          </c:val>
          <c:extLst>
            <c:ext xmlns:c16="http://schemas.microsoft.com/office/drawing/2014/chart" uri="{C3380CC4-5D6E-409C-BE32-E72D297353CC}">
              <c16:uniqueId val="{00000001-DD3B-4315-B319-77897EB6DBB2}"/>
            </c:ext>
          </c:extLst>
        </c:ser>
        <c:dLbls>
          <c:showLegendKey val="0"/>
          <c:showVal val="0"/>
          <c:showCatName val="0"/>
          <c:showSerName val="0"/>
          <c:showPercent val="0"/>
          <c:showBubbleSize val="0"/>
        </c:dLbls>
        <c:axId val="280855968"/>
        <c:axId val="1"/>
      </c:radarChart>
      <c:catAx>
        <c:axId val="280855968"/>
        <c:scaling>
          <c:orientation val="minMax"/>
        </c:scaling>
        <c:delete val="0"/>
        <c:axPos val="b"/>
        <c:majorGridlines>
          <c:spPr>
            <a:ln w="3175">
              <a:solidFill>
                <a:srgbClr val="000000"/>
              </a:solidFill>
              <a:prstDash val="solid"/>
            </a:ln>
          </c:spPr>
        </c:majorGridlines>
        <c:numFmt formatCode="General" sourceLinked="1"/>
        <c:majorTickMark val="out"/>
        <c:minorTickMark val="none"/>
        <c:tickLblPos val="nextTo"/>
        <c:txPr>
          <a:bodyPr rot="0" vert="horz"/>
          <a:lstStyle/>
          <a:p>
            <a:pPr>
              <a:defRPr sz="900" b="0" i="0" u="none" strike="noStrike" baseline="0">
                <a:solidFill>
                  <a:srgbClr val="000000"/>
                </a:solidFill>
                <a:latin typeface="Arial"/>
                <a:ea typeface="Arial"/>
                <a:cs typeface="Arial"/>
              </a:defRPr>
            </a:pPr>
            <a:endParaRPr lang="en-US"/>
          </a:p>
        </c:txPr>
        <c:crossAx val="1"/>
        <c:crosses val="autoZero"/>
        <c:auto val="0"/>
        <c:lblAlgn val="ctr"/>
        <c:lblOffset val="100"/>
        <c:noMultiLvlLbl val="0"/>
      </c:catAx>
      <c:valAx>
        <c:axId val="1"/>
        <c:scaling>
          <c:orientation val="minMax"/>
          <c:min val="-40"/>
        </c:scaling>
        <c:delete val="0"/>
        <c:axPos val="l"/>
        <c:majorGridlines>
          <c:spPr>
            <a:ln w="3175">
              <a:solidFill>
                <a:srgbClr val="000000"/>
              </a:solidFill>
              <a:prstDash val="solid"/>
            </a:ln>
          </c:spPr>
        </c:majorGridlines>
        <c:numFmt formatCode="General"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80855968"/>
        <c:crosses val="autoZero"/>
        <c:crossBetween val="between"/>
        <c:majorUnit val="5"/>
        <c:minorUnit val="1"/>
      </c:valAx>
      <c:spPr>
        <a:solidFill>
          <a:srgbClr val="CCFFCC"/>
        </a:solidFill>
        <a:ln w="25400">
          <a:noFill/>
        </a:ln>
      </c:spPr>
    </c:plotArea>
    <c:legend>
      <c:legendPos val="r"/>
      <c:legendEntry>
        <c:idx val="0"/>
        <c:txPr>
          <a:bodyPr/>
          <a:lstStyle/>
          <a:p>
            <a:pPr>
              <a:defRPr sz="1180" b="0" i="0" u="none" strike="noStrike" baseline="0">
                <a:solidFill>
                  <a:srgbClr val="000000"/>
                </a:solidFill>
                <a:latin typeface="Arial"/>
                <a:ea typeface="Arial"/>
                <a:cs typeface="Arial"/>
              </a:defRPr>
            </a:pPr>
            <a:endParaRPr lang="en-US"/>
          </a:p>
        </c:txPr>
      </c:legendEntry>
      <c:legendEntry>
        <c:idx val="1"/>
        <c:txPr>
          <a:bodyPr/>
          <a:lstStyle/>
          <a:p>
            <a:pPr>
              <a:defRPr sz="1180" b="0" i="0" u="none" strike="noStrike" baseline="0">
                <a:solidFill>
                  <a:srgbClr val="000000"/>
                </a:solidFill>
                <a:latin typeface="Arial"/>
                <a:ea typeface="Arial"/>
                <a:cs typeface="Arial"/>
              </a:defRPr>
            </a:pPr>
            <a:endParaRPr lang="en-US"/>
          </a:p>
        </c:txPr>
      </c:legendEntry>
      <c:layout>
        <c:manualLayout>
          <c:xMode val="edge"/>
          <c:yMode val="edge"/>
          <c:x val="3.3977199873453136E-2"/>
          <c:y val="0.898383104430866"/>
          <c:w val="0.50506648460538439"/>
          <c:h val="4.5500006366649463E-2"/>
        </c:manualLayout>
      </c:layout>
      <c:overlay val="0"/>
      <c:spPr>
        <a:solidFill>
          <a:srgbClr val="FFFFFF"/>
        </a:solidFill>
        <a:ln w="3175">
          <a:solidFill>
            <a:srgbClr val="000000"/>
          </a:solidFill>
          <a:prstDash val="solid"/>
        </a:ln>
      </c:spPr>
      <c:txPr>
        <a:bodyPr/>
        <a:lstStyle/>
        <a:p>
          <a:pPr>
            <a:defRPr sz="184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9999FF"/>
    </a:solidFill>
    <a:ln w="3175">
      <a:solidFill>
        <a:srgbClr val="000000"/>
      </a:solidFill>
      <a:prstDash val="solid"/>
    </a:ln>
  </c:spPr>
  <c:txPr>
    <a:bodyPr/>
    <a:lstStyle/>
    <a:p>
      <a:pPr>
        <a:defRPr sz="14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975" b="0" i="0" u="none" strike="noStrike" baseline="0">
                <a:solidFill>
                  <a:srgbClr val="000000"/>
                </a:solidFill>
                <a:latin typeface="Arial"/>
                <a:ea typeface="Arial"/>
                <a:cs typeface="Arial"/>
              </a:defRPr>
            </a:pPr>
            <a:r>
              <a:rPr lang="en-US" sz="1200" b="0" i="0" u="none" strike="noStrike" baseline="0">
                <a:solidFill>
                  <a:srgbClr val="000000"/>
                </a:solidFill>
                <a:latin typeface="Calibri"/>
                <a:cs typeface="Calibri"/>
              </a:rPr>
              <a:t>Turnstyle Gain in RHCP and LHCP</a:t>
            </a:r>
          </a:p>
          <a:p>
            <a:pPr>
              <a:defRPr sz="1975" b="0" i="0" u="none" strike="noStrike" baseline="0">
                <a:solidFill>
                  <a:srgbClr val="000000"/>
                </a:solidFill>
                <a:latin typeface="Arial"/>
                <a:ea typeface="Arial"/>
                <a:cs typeface="Arial"/>
              </a:defRPr>
            </a:pPr>
            <a:r>
              <a:rPr lang="en-US" sz="1200" b="0" i="0" u="none" strike="noStrike" baseline="0">
                <a:solidFill>
                  <a:srgbClr val="000000"/>
                </a:solidFill>
                <a:latin typeface="Calibri"/>
                <a:cs typeface="Calibri"/>
              </a:rPr>
              <a:t>- Elevation Plot -</a:t>
            </a:r>
          </a:p>
        </c:rich>
      </c:tx>
      <c:layout>
        <c:manualLayout>
          <c:xMode val="edge"/>
          <c:yMode val="edge"/>
          <c:x val="0.3430657093556001"/>
          <c:y val="7.680417665183157E-3"/>
        </c:manualLayout>
      </c:layout>
      <c:overlay val="0"/>
      <c:spPr>
        <a:noFill/>
        <a:ln w="25400">
          <a:noFill/>
        </a:ln>
      </c:spPr>
    </c:title>
    <c:autoTitleDeleted val="0"/>
    <c:plotArea>
      <c:layout>
        <c:manualLayout>
          <c:layoutTarget val="inner"/>
          <c:xMode val="edge"/>
          <c:yMode val="edge"/>
          <c:x val="0.27007299270072993"/>
          <c:y val="0.15514616207361581"/>
          <c:w val="0.45985401459854014"/>
          <c:h val="0.67742037103430275"/>
        </c:manualLayout>
      </c:layout>
      <c:radarChart>
        <c:radarStyle val="marker"/>
        <c:varyColors val="0"/>
        <c:ser>
          <c:idx val="1"/>
          <c:order val="0"/>
          <c:tx>
            <c:v>RHCP Gain</c:v>
          </c:tx>
          <c:spPr>
            <a:ln w="38100">
              <a:solidFill>
                <a:srgbClr val="0000D4"/>
              </a:solidFill>
              <a:prstDash val="solid"/>
            </a:ln>
          </c:spPr>
          <c:marker>
            <c:symbol val="none"/>
          </c:marker>
          <c:cat>
            <c:numRef>
              <c:f>'Antenna Patterns'!$C$99:$C$170</c:f>
              <c:numCache>
                <c:formatCode>General</c:formatCode>
                <c:ptCount val="7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numCache>
            </c:numRef>
          </c:cat>
          <c:val>
            <c:numRef>
              <c:f>'Antenna Patterns'!$D$99:$D$171</c:f>
              <c:numCache>
                <c:formatCode>0.0</c:formatCode>
                <c:ptCount val="73"/>
                <c:pt idx="0">
                  <c:v>2</c:v>
                </c:pt>
                <c:pt idx="1">
                  <c:v>1.98125</c:v>
                </c:pt>
                <c:pt idx="2">
                  <c:v>1.925</c:v>
                </c:pt>
                <c:pt idx="3">
                  <c:v>1.83125</c:v>
                </c:pt>
                <c:pt idx="4">
                  <c:v>1.7</c:v>
                </c:pt>
                <c:pt idx="5">
                  <c:v>1.53125</c:v>
                </c:pt>
                <c:pt idx="6">
                  <c:v>1.325</c:v>
                </c:pt>
                <c:pt idx="7">
                  <c:v>1.0812499999999998</c:v>
                </c:pt>
                <c:pt idx="8">
                  <c:v>0.8</c:v>
                </c:pt>
                <c:pt idx="9">
                  <c:v>0.48124999999999996</c:v>
                </c:pt>
                <c:pt idx="10">
                  <c:v>0.125</c:v>
                </c:pt>
                <c:pt idx="11">
                  <c:v>-0.26875000000000027</c:v>
                </c:pt>
                <c:pt idx="12">
                  <c:v>-0.70000000000000018</c:v>
                </c:pt>
                <c:pt idx="13">
                  <c:v>-1.1687500000000002</c:v>
                </c:pt>
                <c:pt idx="14">
                  <c:v>-1.6750000000000003</c:v>
                </c:pt>
                <c:pt idx="15">
                  <c:v>-2.21875</c:v>
                </c:pt>
                <c:pt idx="16">
                  <c:v>-2.8</c:v>
                </c:pt>
                <c:pt idx="17">
                  <c:v>-3.4187500000000002</c:v>
                </c:pt>
                <c:pt idx="18">
                  <c:v>-4.0750000000000002</c:v>
                </c:pt>
                <c:pt idx="19">
                  <c:v>-4.7687499999999998</c:v>
                </c:pt>
                <c:pt idx="20">
                  <c:v>-5.5</c:v>
                </c:pt>
                <c:pt idx="21">
                  <c:v>-6.2687500000000007</c:v>
                </c:pt>
                <c:pt idx="22">
                  <c:v>-7.0750000000000011</c:v>
                </c:pt>
                <c:pt idx="23">
                  <c:v>-7.9187500000000011</c:v>
                </c:pt>
                <c:pt idx="24">
                  <c:v>-8.8000000000000007</c:v>
                </c:pt>
                <c:pt idx="25">
                  <c:v>-9.71875</c:v>
                </c:pt>
                <c:pt idx="26">
                  <c:v>-10.675000000000001</c:v>
                </c:pt>
                <c:pt idx="27">
                  <c:v>-11.668750000000001</c:v>
                </c:pt>
                <c:pt idx="28">
                  <c:v>-12.700000000000001</c:v>
                </c:pt>
                <c:pt idx="29">
                  <c:v>-13.768750000000001</c:v>
                </c:pt>
                <c:pt idx="30">
                  <c:v>-14.875</c:v>
                </c:pt>
                <c:pt idx="31">
                  <c:v>-16.018750000000001</c:v>
                </c:pt>
                <c:pt idx="32">
                  <c:v>-17.2</c:v>
                </c:pt>
                <c:pt idx="33">
                  <c:v>-18.418749999999999</c:v>
                </c:pt>
                <c:pt idx="34">
                  <c:v>-19.675000000000001</c:v>
                </c:pt>
                <c:pt idx="35">
                  <c:v>-20.96875</c:v>
                </c:pt>
                <c:pt idx="36">
                  <c:v>-22.3</c:v>
                </c:pt>
                <c:pt idx="37">
                  <c:v>-20.96875</c:v>
                </c:pt>
                <c:pt idx="38">
                  <c:v>-19.675000000000001</c:v>
                </c:pt>
                <c:pt idx="39">
                  <c:v>-18.418749999999999</c:v>
                </c:pt>
                <c:pt idx="40">
                  <c:v>-17.2</c:v>
                </c:pt>
                <c:pt idx="41">
                  <c:v>-16.018750000000001</c:v>
                </c:pt>
                <c:pt idx="42">
                  <c:v>-14.875</c:v>
                </c:pt>
                <c:pt idx="43">
                  <c:v>-13.768750000000001</c:v>
                </c:pt>
                <c:pt idx="44">
                  <c:v>-12.700000000000001</c:v>
                </c:pt>
                <c:pt idx="45">
                  <c:v>-11.668750000000001</c:v>
                </c:pt>
                <c:pt idx="46">
                  <c:v>-10.675000000000001</c:v>
                </c:pt>
                <c:pt idx="47">
                  <c:v>-9.71875</c:v>
                </c:pt>
                <c:pt idx="48">
                  <c:v>-8.8000000000000007</c:v>
                </c:pt>
                <c:pt idx="49">
                  <c:v>-7.9187500000000011</c:v>
                </c:pt>
                <c:pt idx="50">
                  <c:v>-7.0750000000000011</c:v>
                </c:pt>
                <c:pt idx="51">
                  <c:v>-6.2687500000000007</c:v>
                </c:pt>
                <c:pt idx="52">
                  <c:v>-5.5</c:v>
                </c:pt>
                <c:pt idx="53">
                  <c:v>-4.7687499999999998</c:v>
                </c:pt>
                <c:pt idx="54">
                  <c:v>-4.0750000000000002</c:v>
                </c:pt>
                <c:pt idx="55">
                  <c:v>-3.4187500000000002</c:v>
                </c:pt>
                <c:pt idx="56">
                  <c:v>-2.8</c:v>
                </c:pt>
                <c:pt idx="57">
                  <c:v>-2.21875</c:v>
                </c:pt>
                <c:pt idx="58">
                  <c:v>-1.6750000000000003</c:v>
                </c:pt>
                <c:pt idx="59">
                  <c:v>-1.1687500000000002</c:v>
                </c:pt>
                <c:pt idx="60">
                  <c:v>-0.70000000000000018</c:v>
                </c:pt>
                <c:pt idx="61">
                  <c:v>-0.26875000000000027</c:v>
                </c:pt>
                <c:pt idx="62">
                  <c:v>0.125</c:v>
                </c:pt>
                <c:pt idx="63">
                  <c:v>0.48124999999999996</c:v>
                </c:pt>
                <c:pt idx="64">
                  <c:v>0.8</c:v>
                </c:pt>
                <c:pt idx="65">
                  <c:v>1.0812499999999998</c:v>
                </c:pt>
                <c:pt idx="66">
                  <c:v>1.325</c:v>
                </c:pt>
                <c:pt idx="67">
                  <c:v>1.53125</c:v>
                </c:pt>
                <c:pt idx="68">
                  <c:v>1.7</c:v>
                </c:pt>
                <c:pt idx="69">
                  <c:v>1.83125</c:v>
                </c:pt>
                <c:pt idx="70">
                  <c:v>1.925</c:v>
                </c:pt>
                <c:pt idx="71">
                  <c:v>1.98125</c:v>
                </c:pt>
                <c:pt idx="72">
                  <c:v>2</c:v>
                </c:pt>
              </c:numCache>
            </c:numRef>
          </c:val>
          <c:extLst>
            <c:ext xmlns:c16="http://schemas.microsoft.com/office/drawing/2014/chart" uri="{C3380CC4-5D6E-409C-BE32-E72D297353CC}">
              <c16:uniqueId val="{00000000-FA95-4A9D-AE50-7A15A498B696}"/>
            </c:ext>
          </c:extLst>
        </c:ser>
        <c:ser>
          <c:idx val="2"/>
          <c:order val="1"/>
          <c:tx>
            <c:v>LHCP Gain</c:v>
          </c:tx>
          <c:spPr>
            <a:ln w="38100">
              <a:solidFill>
                <a:srgbClr val="DD0806"/>
              </a:solidFill>
              <a:prstDash val="solid"/>
            </a:ln>
          </c:spPr>
          <c:marker>
            <c:symbol val="none"/>
          </c:marker>
          <c:cat>
            <c:numRef>
              <c:f>'Antenna Patterns'!$C$99:$C$170</c:f>
              <c:numCache>
                <c:formatCode>General</c:formatCode>
                <c:ptCount val="7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numCache>
            </c:numRef>
          </c:cat>
          <c:val>
            <c:numRef>
              <c:f>'Antenna Patterns'!$E$99:$E$171</c:f>
              <c:numCache>
                <c:formatCode>0.0</c:formatCode>
                <c:ptCount val="73"/>
                <c:pt idx="0">
                  <c:v>-23.8</c:v>
                </c:pt>
                <c:pt idx="1">
                  <c:v>-22.46875</c:v>
                </c:pt>
                <c:pt idx="2">
                  <c:v>-21.175000000000001</c:v>
                </c:pt>
                <c:pt idx="3">
                  <c:v>-19.918749999999999</c:v>
                </c:pt>
                <c:pt idx="4">
                  <c:v>-18.7</c:v>
                </c:pt>
                <c:pt idx="5">
                  <c:v>-17.518750000000001</c:v>
                </c:pt>
                <c:pt idx="6">
                  <c:v>-16.375</c:v>
                </c:pt>
                <c:pt idx="7">
                  <c:v>-15.268750000000001</c:v>
                </c:pt>
                <c:pt idx="8">
                  <c:v>-14.200000000000001</c:v>
                </c:pt>
                <c:pt idx="9">
                  <c:v>-13.168750000000001</c:v>
                </c:pt>
                <c:pt idx="10">
                  <c:v>-12.175000000000001</c:v>
                </c:pt>
                <c:pt idx="11">
                  <c:v>-11.21875</c:v>
                </c:pt>
                <c:pt idx="12">
                  <c:v>-10.3</c:v>
                </c:pt>
                <c:pt idx="13">
                  <c:v>-9.4187500000000011</c:v>
                </c:pt>
                <c:pt idx="14">
                  <c:v>-8.5750000000000011</c:v>
                </c:pt>
                <c:pt idx="15">
                  <c:v>-7.7687500000000007</c:v>
                </c:pt>
                <c:pt idx="16">
                  <c:v>-7</c:v>
                </c:pt>
                <c:pt idx="17">
                  <c:v>-6.2687499999999998</c:v>
                </c:pt>
                <c:pt idx="18">
                  <c:v>-5.5750000000000002</c:v>
                </c:pt>
                <c:pt idx="19">
                  <c:v>-4.9187500000000002</c:v>
                </c:pt>
                <c:pt idx="20">
                  <c:v>-4.3</c:v>
                </c:pt>
                <c:pt idx="21">
                  <c:v>-3.71875</c:v>
                </c:pt>
                <c:pt idx="22">
                  <c:v>-3.1750000000000003</c:v>
                </c:pt>
                <c:pt idx="23">
                  <c:v>-2.6687500000000002</c:v>
                </c:pt>
                <c:pt idx="24">
                  <c:v>-2.2000000000000002</c:v>
                </c:pt>
                <c:pt idx="25">
                  <c:v>-1.7687500000000003</c:v>
                </c:pt>
                <c:pt idx="26">
                  <c:v>-1.375</c:v>
                </c:pt>
                <c:pt idx="27">
                  <c:v>-1.01875</c:v>
                </c:pt>
                <c:pt idx="28">
                  <c:v>-0.7</c:v>
                </c:pt>
                <c:pt idx="29">
                  <c:v>-0.41875000000000007</c:v>
                </c:pt>
                <c:pt idx="30">
                  <c:v>-0.17500000000000004</c:v>
                </c:pt>
                <c:pt idx="31">
                  <c:v>3.125E-2</c:v>
                </c:pt>
                <c:pt idx="32">
                  <c:v>0.2</c:v>
                </c:pt>
                <c:pt idx="33">
                  <c:v>0.33124999999999999</c:v>
                </c:pt>
                <c:pt idx="34">
                  <c:v>0.42499999999999999</c:v>
                </c:pt>
                <c:pt idx="35" formatCode="0.00">
                  <c:v>0.48125000000000001</c:v>
                </c:pt>
                <c:pt idx="36">
                  <c:v>0.5</c:v>
                </c:pt>
                <c:pt idx="37" formatCode="0.00">
                  <c:v>0.48125000000000001</c:v>
                </c:pt>
                <c:pt idx="38" formatCode="0.00">
                  <c:v>0.42499999999999999</c:v>
                </c:pt>
                <c:pt idx="39" formatCode="0.00">
                  <c:v>0.33124999999999999</c:v>
                </c:pt>
                <c:pt idx="40" formatCode="0.00">
                  <c:v>0.2</c:v>
                </c:pt>
                <c:pt idx="41" formatCode="0.00">
                  <c:v>3.125E-2</c:v>
                </c:pt>
                <c:pt idx="42" formatCode="0.00">
                  <c:v>-0.17500000000000004</c:v>
                </c:pt>
                <c:pt idx="43" formatCode="0.00">
                  <c:v>-0.41875000000000007</c:v>
                </c:pt>
                <c:pt idx="44" formatCode="0.00">
                  <c:v>-0.7</c:v>
                </c:pt>
                <c:pt idx="45" formatCode="0.00">
                  <c:v>-1.01875</c:v>
                </c:pt>
                <c:pt idx="46" formatCode="0.00">
                  <c:v>-1.375</c:v>
                </c:pt>
                <c:pt idx="47" formatCode="0.00">
                  <c:v>-1.7687500000000003</c:v>
                </c:pt>
                <c:pt idx="48" formatCode="0.00">
                  <c:v>-2.2000000000000002</c:v>
                </c:pt>
                <c:pt idx="49" formatCode="0.00">
                  <c:v>-2.6687500000000002</c:v>
                </c:pt>
                <c:pt idx="50" formatCode="0.00">
                  <c:v>-3.1750000000000003</c:v>
                </c:pt>
                <c:pt idx="51" formatCode="0.00">
                  <c:v>-3.71875</c:v>
                </c:pt>
                <c:pt idx="52" formatCode="0.00">
                  <c:v>-4.3</c:v>
                </c:pt>
                <c:pt idx="53" formatCode="0.00">
                  <c:v>-4.9187500000000002</c:v>
                </c:pt>
                <c:pt idx="54" formatCode="0.00">
                  <c:v>-5.5750000000000002</c:v>
                </c:pt>
                <c:pt idx="55" formatCode="0.00">
                  <c:v>-6.2687499999999998</c:v>
                </c:pt>
                <c:pt idx="56" formatCode="0.00">
                  <c:v>-7</c:v>
                </c:pt>
                <c:pt idx="57" formatCode="0.00">
                  <c:v>-7.7687500000000007</c:v>
                </c:pt>
                <c:pt idx="58" formatCode="0.00">
                  <c:v>-8.5750000000000011</c:v>
                </c:pt>
                <c:pt idx="59" formatCode="0.00">
                  <c:v>-9.4187500000000011</c:v>
                </c:pt>
                <c:pt idx="60" formatCode="0.00">
                  <c:v>-10.3</c:v>
                </c:pt>
                <c:pt idx="61" formatCode="0.00">
                  <c:v>-11.21875</c:v>
                </c:pt>
                <c:pt idx="62" formatCode="0.00">
                  <c:v>-12.175000000000001</c:v>
                </c:pt>
                <c:pt idx="63" formatCode="0.00">
                  <c:v>-13.168750000000001</c:v>
                </c:pt>
                <c:pt idx="64" formatCode="0.00">
                  <c:v>-14.200000000000001</c:v>
                </c:pt>
                <c:pt idx="65" formatCode="0.00">
                  <c:v>-15.268750000000001</c:v>
                </c:pt>
                <c:pt idx="66" formatCode="0.00">
                  <c:v>-16.375</c:v>
                </c:pt>
                <c:pt idx="67" formatCode="0.00">
                  <c:v>-17.518750000000001</c:v>
                </c:pt>
                <c:pt idx="68" formatCode="0.00">
                  <c:v>-18.7</c:v>
                </c:pt>
                <c:pt idx="69" formatCode="0.00">
                  <c:v>-19.918749999999999</c:v>
                </c:pt>
                <c:pt idx="70" formatCode="0.00">
                  <c:v>-21.175000000000001</c:v>
                </c:pt>
                <c:pt idx="71" formatCode="0.00">
                  <c:v>-22.46875</c:v>
                </c:pt>
                <c:pt idx="72" formatCode="0.00">
                  <c:v>-23.8</c:v>
                </c:pt>
              </c:numCache>
            </c:numRef>
          </c:val>
          <c:extLst>
            <c:ext xmlns:c16="http://schemas.microsoft.com/office/drawing/2014/chart" uri="{C3380CC4-5D6E-409C-BE32-E72D297353CC}">
              <c16:uniqueId val="{00000001-FA95-4A9D-AE50-7A15A498B696}"/>
            </c:ext>
          </c:extLst>
        </c:ser>
        <c:dLbls>
          <c:showLegendKey val="0"/>
          <c:showVal val="0"/>
          <c:showCatName val="0"/>
          <c:showSerName val="0"/>
          <c:showPercent val="0"/>
          <c:showBubbleSize val="0"/>
        </c:dLbls>
        <c:axId val="280829968"/>
        <c:axId val="1"/>
      </c:radarChart>
      <c:catAx>
        <c:axId val="280829968"/>
        <c:scaling>
          <c:orientation val="minMax"/>
        </c:scaling>
        <c:delete val="0"/>
        <c:axPos val="b"/>
        <c:majorGridlines>
          <c:spPr>
            <a:ln w="3175">
              <a:solidFill>
                <a:srgbClr val="000000"/>
              </a:solidFill>
              <a:prstDash val="solid"/>
            </a:ln>
          </c:spPr>
        </c:majorGridlines>
        <c:numFmt formatCode="General" sourceLinked="1"/>
        <c:majorTickMark val="out"/>
        <c:minorTickMark val="none"/>
        <c:tickLblPos val="nextTo"/>
        <c:txPr>
          <a:bodyPr rot="0" vert="horz"/>
          <a:lstStyle/>
          <a:p>
            <a:pPr>
              <a:defRPr sz="825" b="0" i="0" u="none" strike="noStrike" baseline="0">
                <a:solidFill>
                  <a:srgbClr val="000000"/>
                </a:solidFill>
                <a:latin typeface="Arial"/>
                <a:ea typeface="Arial"/>
                <a:cs typeface="Arial"/>
              </a:defRPr>
            </a:pPr>
            <a:endParaRPr lang="en-US"/>
          </a:p>
        </c:txPr>
        <c:crossAx val="1"/>
        <c:crosses val="autoZero"/>
        <c:auto val="0"/>
        <c:lblAlgn val="ctr"/>
        <c:lblOffset val="100"/>
        <c:noMultiLvlLbl val="0"/>
      </c:catAx>
      <c:valAx>
        <c:axId val="1"/>
        <c:scaling>
          <c:orientation val="minMax"/>
          <c:min val="-40"/>
        </c:scaling>
        <c:delete val="0"/>
        <c:axPos val="l"/>
        <c:majorGridlines>
          <c:spPr>
            <a:ln w="3175">
              <a:solidFill>
                <a:srgbClr val="000000"/>
              </a:solidFill>
              <a:prstDash val="solid"/>
            </a:ln>
          </c:spPr>
        </c:majorGridlines>
        <c:numFmt formatCode="General"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80829968"/>
        <c:crosses val="autoZero"/>
        <c:crossBetween val="between"/>
        <c:majorUnit val="5"/>
        <c:minorUnit val="1"/>
      </c:valAx>
      <c:spPr>
        <a:solidFill>
          <a:srgbClr val="9999FF"/>
        </a:solidFill>
        <a:ln w="25400">
          <a:noFill/>
        </a:ln>
      </c:spPr>
    </c:plotArea>
    <c:legend>
      <c:legendPos val="r"/>
      <c:layout>
        <c:manualLayout>
          <c:xMode val="edge"/>
          <c:yMode val="edge"/>
          <c:x val="3.9230406236517523E-2"/>
          <c:y val="0.92487359321481"/>
          <c:w val="0.37716250206336149"/>
          <c:h val="4.9062143206654703E-2"/>
        </c:manualLayout>
      </c:layout>
      <c:overlay val="0"/>
      <c:spPr>
        <a:solidFill>
          <a:srgbClr val="FFFFFF"/>
        </a:solidFill>
        <a:ln w="3175">
          <a:solidFill>
            <a:srgbClr val="000000"/>
          </a:solidFill>
          <a:prstDash val="solid"/>
        </a:ln>
      </c:spPr>
      <c:txPr>
        <a:bodyPr/>
        <a:lstStyle/>
        <a:p>
          <a:pPr>
            <a:defRPr sz="169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9999FF"/>
    </a:solidFill>
    <a:ln w="3175">
      <a:solidFill>
        <a:srgbClr val="000000"/>
      </a:solidFill>
      <a:prstDash val="solid"/>
    </a:ln>
  </c:spPr>
  <c:txPr>
    <a:bodyPr/>
    <a:lstStyle/>
    <a:p>
      <a:pPr>
        <a:defRPr sz="19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paperSize="9" orientation="landscape" horizontalDpi="-3" verticalDpi="0"/>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b="1" i="0" u="none" strike="noStrike" baseline="0">
                <a:solidFill>
                  <a:srgbClr val="000000"/>
                </a:solidFill>
                <a:latin typeface="Arial"/>
                <a:ea typeface="Arial"/>
                <a:cs typeface="Arial"/>
              </a:defRPr>
            </a:pPr>
            <a:r>
              <a:rPr lang="en-US"/>
              <a:t>Patch Antenna Gain </a:t>
            </a:r>
          </a:p>
        </c:rich>
      </c:tx>
      <c:layout>
        <c:manualLayout>
          <c:xMode val="edge"/>
          <c:yMode val="edge"/>
          <c:x val="0.33967417865870214"/>
          <c:y val="2.842818225920812E-2"/>
        </c:manualLayout>
      </c:layout>
      <c:overlay val="0"/>
      <c:spPr>
        <a:noFill/>
        <a:ln w="25400">
          <a:noFill/>
        </a:ln>
      </c:spPr>
    </c:title>
    <c:autoTitleDeleted val="0"/>
    <c:plotArea>
      <c:layout>
        <c:manualLayout>
          <c:layoutTarget val="inner"/>
          <c:xMode val="edge"/>
          <c:yMode val="edge"/>
          <c:x val="0.16847837264243259"/>
          <c:y val="0.26421426255998393"/>
          <c:w val="0.52173947657011388"/>
          <c:h val="0.642140992550847"/>
        </c:manualLayout>
      </c:layout>
      <c:radarChart>
        <c:radarStyle val="marker"/>
        <c:varyColors val="0"/>
        <c:ser>
          <c:idx val="1"/>
          <c:order val="0"/>
          <c:tx>
            <c:v>RHCP</c:v>
          </c:tx>
          <c:spPr>
            <a:ln w="38100">
              <a:solidFill>
                <a:srgbClr val="0000D4"/>
              </a:solidFill>
              <a:prstDash val="solid"/>
            </a:ln>
          </c:spPr>
          <c:marker>
            <c:symbol val="none"/>
          </c:marker>
          <c:cat>
            <c:numRef>
              <c:f>'Antenna Patterns'!$C$216:$C$287</c:f>
              <c:numCache>
                <c:formatCode>0</c:formatCode>
                <c:ptCount val="72"/>
                <c:pt idx="0">
                  <c:v>1.0000000000000001E-5</c:v>
                </c:pt>
                <c:pt idx="1">
                  <c:v>5.0000099999999996</c:v>
                </c:pt>
                <c:pt idx="2">
                  <c:v>10.00001</c:v>
                </c:pt>
                <c:pt idx="3">
                  <c:v>15.00001</c:v>
                </c:pt>
                <c:pt idx="4">
                  <c:v>20.00001</c:v>
                </c:pt>
                <c:pt idx="5">
                  <c:v>25.00001</c:v>
                </c:pt>
                <c:pt idx="6">
                  <c:v>30.00001</c:v>
                </c:pt>
                <c:pt idx="7">
                  <c:v>35.000010000000003</c:v>
                </c:pt>
                <c:pt idx="8">
                  <c:v>40.000010000000003</c:v>
                </c:pt>
                <c:pt idx="9">
                  <c:v>45.000010000000003</c:v>
                </c:pt>
                <c:pt idx="10">
                  <c:v>50.000010000000003</c:v>
                </c:pt>
                <c:pt idx="11">
                  <c:v>55.000010000000003</c:v>
                </c:pt>
                <c:pt idx="12">
                  <c:v>60.000010000000003</c:v>
                </c:pt>
                <c:pt idx="13">
                  <c:v>65.000010000000003</c:v>
                </c:pt>
                <c:pt idx="14">
                  <c:v>70.000010000000003</c:v>
                </c:pt>
                <c:pt idx="15">
                  <c:v>75.000010000000003</c:v>
                </c:pt>
                <c:pt idx="16">
                  <c:v>80.000010000000003</c:v>
                </c:pt>
                <c:pt idx="17">
                  <c:v>85.000010000000003</c:v>
                </c:pt>
                <c:pt idx="18">
                  <c:v>90.000010000000003</c:v>
                </c:pt>
                <c:pt idx="19">
                  <c:v>95.000010000000003</c:v>
                </c:pt>
                <c:pt idx="20">
                  <c:v>100.00001</c:v>
                </c:pt>
                <c:pt idx="21">
                  <c:v>105.00001</c:v>
                </c:pt>
                <c:pt idx="22">
                  <c:v>110.00001</c:v>
                </c:pt>
                <c:pt idx="23">
                  <c:v>115.00001</c:v>
                </c:pt>
                <c:pt idx="24">
                  <c:v>120.00001</c:v>
                </c:pt>
                <c:pt idx="25">
                  <c:v>125.00001</c:v>
                </c:pt>
                <c:pt idx="26">
                  <c:v>130.00001</c:v>
                </c:pt>
                <c:pt idx="27">
                  <c:v>135.00001</c:v>
                </c:pt>
                <c:pt idx="28">
                  <c:v>140.00001</c:v>
                </c:pt>
                <c:pt idx="29">
                  <c:v>145.00001</c:v>
                </c:pt>
                <c:pt idx="30">
                  <c:v>150.00001</c:v>
                </c:pt>
                <c:pt idx="31">
                  <c:v>155.00001</c:v>
                </c:pt>
                <c:pt idx="32">
                  <c:v>160.00001</c:v>
                </c:pt>
                <c:pt idx="33">
                  <c:v>165.00001</c:v>
                </c:pt>
                <c:pt idx="34">
                  <c:v>170.00001</c:v>
                </c:pt>
                <c:pt idx="35">
                  <c:v>175.00001</c:v>
                </c:pt>
                <c:pt idx="36">
                  <c:v>180.00001</c:v>
                </c:pt>
                <c:pt idx="37">
                  <c:v>185.00001</c:v>
                </c:pt>
                <c:pt idx="38">
                  <c:v>190.00001</c:v>
                </c:pt>
                <c:pt idx="39">
                  <c:v>195.00001</c:v>
                </c:pt>
                <c:pt idx="40">
                  <c:v>200.00001</c:v>
                </c:pt>
                <c:pt idx="41">
                  <c:v>205.00001</c:v>
                </c:pt>
                <c:pt idx="42">
                  <c:v>210.00001</c:v>
                </c:pt>
                <c:pt idx="43">
                  <c:v>215.00001</c:v>
                </c:pt>
                <c:pt idx="44">
                  <c:v>220.00001</c:v>
                </c:pt>
                <c:pt idx="45">
                  <c:v>225.00001</c:v>
                </c:pt>
                <c:pt idx="46">
                  <c:v>230.00001</c:v>
                </c:pt>
                <c:pt idx="47">
                  <c:v>235.00001</c:v>
                </c:pt>
                <c:pt idx="48">
                  <c:v>240.00001</c:v>
                </c:pt>
                <c:pt idx="49">
                  <c:v>245.00001</c:v>
                </c:pt>
                <c:pt idx="50">
                  <c:v>250.00001</c:v>
                </c:pt>
                <c:pt idx="51">
                  <c:v>255.00001</c:v>
                </c:pt>
                <c:pt idx="52">
                  <c:v>260.00000999999997</c:v>
                </c:pt>
                <c:pt idx="53">
                  <c:v>265.00000999999997</c:v>
                </c:pt>
                <c:pt idx="54">
                  <c:v>270.00000999999997</c:v>
                </c:pt>
                <c:pt idx="55">
                  <c:v>275.00000999999997</c:v>
                </c:pt>
                <c:pt idx="56">
                  <c:v>280.00000999999997</c:v>
                </c:pt>
                <c:pt idx="57">
                  <c:v>285.00000999999997</c:v>
                </c:pt>
                <c:pt idx="58">
                  <c:v>290.00000999999997</c:v>
                </c:pt>
                <c:pt idx="59">
                  <c:v>295.00000999999997</c:v>
                </c:pt>
                <c:pt idx="60">
                  <c:v>300.00000999999997</c:v>
                </c:pt>
                <c:pt idx="61">
                  <c:v>305.00000999999997</c:v>
                </c:pt>
                <c:pt idx="62">
                  <c:v>310.00000999999997</c:v>
                </c:pt>
                <c:pt idx="63">
                  <c:v>315.00000999999997</c:v>
                </c:pt>
                <c:pt idx="64">
                  <c:v>320.00000999999997</c:v>
                </c:pt>
                <c:pt idx="65">
                  <c:v>325.00000999999997</c:v>
                </c:pt>
                <c:pt idx="66">
                  <c:v>330.00000999999997</c:v>
                </c:pt>
                <c:pt idx="67">
                  <c:v>335.00000999999997</c:v>
                </c:pt>
                <c:pt idx="68">
                  <c:v>340.00000999999997</c:v>
                </c:pt>
                <c:pt idx="69">
                  <c:v>345.00000999999997</c:v>
                </c:pt>
                <c:pt idx="70">
                  <c:v>350.00000999999997</c:v>
                </c:pt>
                <c:pt idx="71">
                  <c:v>355.00000999999997</c:v>
                </c:pt>
              </c:numCache>
            </c:numRef>
          </c:cat>
          <c:val>
            <c:numRef>
              <c:f>'Antenna Patterns'!$D$216:$D$287</c:f>
              <c:numCache>
                <c:formatCode>0.0</c:formatCode>
                <c:ptCount val="72"/>
                <c:pt idx="0">
                  <c:v>6.0000048287003951</c:v>
                </c:pt>
                <c:pt idx="1">
                  <c:v>5.9653447349382374</c:v>
                </c:pt>
                <c:pt idx="2">
                  <c:v>5.8610307884493329</c:v>
                </c:pt>
                <c:pt idx="3">
                  <c:v>5.6860456751103436</c:v>
                </c:pt>
                <c:pt idx="4">
                  <c:v>5.4386406342061937</c:v>
                </c:pt>
                <c:pt idx="5">
                  <c:v>5.1162496734715912</c:v>
                </c:pt>
                <c:pt idx="6">
                  <c:v>4.7153564644619106</c:v>
                </c:pt>
                <c:pt idx="7">
                  <c:v>4.2312978799201479</c:v>
                </c:pt>
                <c:pt idx="8">
                  <c:v>3.6579781652012575</c:v>
                </c:pt>
                <c:pt idx="9">
                  <c:v>2.9874513525559072</c:v>
                </c:pt>
                <c:pt idx="10">
                  <c:v>2.2093012463479962</c:v>
                </c:pt>
                <c:pt idx="11">
                  <c:v>1.3096970623209385</c:v>
                </c:pt>
                <c:pt idx="12">
                  <c:v>0.26990490064927641</c:v>
                </c:pt>
                <c:pt idx="13">
                  <c:v>-0.93616362774185458</c:v>
                </c:pt>
                <c:pt idx="14">
                  <c:v>-2.346219096006557</c:v>
                </c:pt>
                <c:pt idx="15">
                  <c:v>-4.0175734305176114</c:v>
                </c:pt>
                <c:pt idx="16">
                  <c:v>-6.0435331070795471</c:v>
                </c:pt>
                <c:pt idx="17">
                  <c:v>-8.5917789014445276</c:v>
                </c:pt>
                <c:pt idx="18">
                  <c:v>-12.013620001173564</c:v>
                </c:pt>
                <c:pt idx="19">
                  <c:v>-17.279743973217315</c:v>
                </c:pt>
                <c:pt idx="20">
                  <c:v>-30.156464421918081</c:v>
                </c:pt>
                <c:pt idx="21">
                  <c:v>-23.701973405406868</c:v>
                </c:pt>
                <c:pt idx="22">
                  <c:v>-16.397090501132354</c:v>
                </c:pt>
                <c:pt idx="23">
                  <c:v>-12.895951874930702</c:v>
                </c:pt>
                <c:pt idx="24">
                  <c:v>-10.743493220007636</c:v>
                </c:pt>
                <c:pt idx="25">
                  <c:v>-9.3131238834920467</c:v>
                </c:pt>
                <c:pt idx="26">
                  <c:v>-8.3505360701726996</c:v>
                </c:pt>
                <c:pt idx="27">
                  <c:v>-7.7293164278551636</c:v>
                </c:pt>
                <c:pt idx="28">
                  <c:v>-7.3797189350454673</c:v>
                </c:pt>
                <c:pt idx="29">
                  <c:v>-7.2617287207414059</c:v>
                </c:pt>
                <c:pt idx="30">
                  <c:v>-7.3532972791944715</c:v>
                </c:pt>
                <c:pt idx="31">
                  <c:v>-7.6449434430417593</c:v>
                </c:pt>
                <c:pt idx="32">
                  <c:v>-8.1376149609957675</c:v>
                </c:pt>
                <c:pt idx="33">
                  <c:v>-8.842764611816559</c:v>
                </c:pt>
                <c:pt idx="34">
                  <c:v>-9.7846725758335822</c:v>
                </c:pt>
                <c:pt idx="35">
                  <c:v>-11.006151919034188</c:v>
                </c:pt>
                <c:pt idx="36">
                  <c:v>-12.580956411963957</c:v>
                </c:pt>
                <c:pt idx="37">
                  <c:v>-11</c:v>
                </c:pt>
                <c:pt idx="38">
                  <c:v>-9.8000000000000007</c:v>
                </c:pt>
                <c:pt idx="39" formatCode="General">
                  <c:v>-8.8000000000000007</c:v>
                </c:pt>
                <c:pt idx="40" formatCode="General">
                  <c:v>-8.1</c:v>
                </c:pt>
                <c:pt idx="41" formatCode="General">
                  <c:v>-7.6</c:v>
                </c:pt>
                <c:pt idx="42" formatCode="General">
                  <c:v>-7.4</c:v>
                </c:pt>
                <c:pt idx="43" formatCode="General">
                  <c:v>-7.3</c:v>
                </c:pt>
                <c:pt idx="44" formatCode="General">
                  <c:v>-7.4</c:v>
                </c:pt>
                <c:pt idx="45" formatCode="General">
                  <c:v>-7.7</c:v>
                </c:pt>
                <c:pt idx="46" formatCode="General">
                  <c:v>-8.4</c:v>
                </c:pt>
                <c:pt idx="47" formatCode="General">
                  <c:v>-9.3000000000000007</c:v>
                </c:pt>
                <c:pt idx="48" formatCode="General">
                  <c:v>-10.7</c:v>
                </c:pt>
                <c:pt idx="49" formatCode="General">
                  <c:v>-12.9</c:v>
                </c:pt>
                <c:pt idx="50" formatCode="General">
                  <c:v>-16.399999999999999</c:v>
                </c:pt>
                <c:pt idx="51" formatCode="General">
                  <c:v>-23.7</c:v>
                </c:pt>
                <c:pt idx="52" formatCode="General">
                  <c:v>-30.2</c:v>
                </c:pt>
                <c:pt idx="53" formatCode="General">
                  <c:v>-17.3</c:v>
                </c:pt>
                <c:pt idx="54">
                  <c:v>-8.6</c:v>
                </c:pt>
                <c:pt idx="55">
                  <c:v>-6</c:v>
                </c:pt>
                <c:pt idx="56">
                  <c:v>-4</c:v>
                </c:pt>
                <c:pt idx="57" formatCode="General">
                  <c:v>-2.2999999999999998</c:v>
                </c:pt>
                <c:pt idx="58" formatCode="General">
                  <c:v>-0.9</c:v>
                </c:pt>
                <c:pt idx="59" formatCode="General">
                  <c:v>0.3</c:v>
                </c:pt>
                <c:pt idx="60" formatCode="General">
                  <c:v>1.3</c:v>
                </c:pt>
                <c:pt idx="61" formatCode="General">
                  <c:v>2.2000000000000002</c:v>
                </c:pt>
                <c:pt idx="62">
                  <c:v>3</c:v>
                </c:pt>
                <c:pt idx="63" formatCode="General">
                  <c:v>3.7</c:v>
                </c:pt>
                <c:pt idx="64" formatCode="General">
                  <c:v>4.2</c:v>
                </c:pt>
                <c:pt idx="65" formatCode="General">
                  <c:v>4.7</c:v>
                </c:pt>
                <c:pt idx="66" formatCode="General">
                  <c:v>5.0999999999999996</c:v>
                </c:pt>
                <c:pt idx="67" formatCode="General">
                  <c:v>5.4</c:v>
                </c:pt>
                <c:pt idx="68" formatCode="General">
                  <c:v>5.7</c:v>
                </c:pt>
                <c:pt idx="69" formatCode="General">
                  <c:v>5.9</c:v>
                </c:pt>
                <c:pt idx="70">
                  <c:v>6</c:v>
                </c:pt>
                <c:pt idx="71">
                  <c:v>6</c:v>
                </c:pt>
              </c:numCache>
            </c:numRef>
          </c:val>
          <c:extLst>
            <c:ext xmlns:c16="http://schemas.microsoft.com/office/drawing/2014/chart" uri="{C3380CC4-5D6E-409C-BE32-E72D297353CC}">
              <c16:uniqueId val="{00000000-CEE0-41DF-80E7-2E9801EB7F98}"/>
            </c:ext>
          </c:extLst>
        </c:ser>
        <c:dLbls>
          <c:showLegendKey val="0"/>
          <c:showVal val="0"/>
          <c:showCatName val="0"/>
          <c:showSerName val="0"/>
          <c:showPercent val="0"/>
          <c:showBubbleSize val="0"/>
        </c:dLbls>
        <c:axId val="280846768"/>
        <c:axId val="1"/>
      </c:radarChart>
      <c:catAx>
        <c:axId val="280846768"/>
        <c:scaling>
          <c:orientation val="minMax"/>
        </c:scaling>
        <c:delete val="0"/>
        <c:axPos val="b"/>
        <c:majorGridlines>
          <c:spPr>
            <a:ln w="3175">
              <a:solidFill>
                <a:srgbClr val="000000"/>
              </a:solidFill>
              <a:prstDash val="solid"/>
            </a:ln>
          </c:spPr>
        </c:majorGridlines>
        <c:numFmt formatCode="0" sourceLinked="1"/>
        <c:majorTickMark val="out"/>
        <c:minorTickMark val="none"/>
        <c:tickLblPos val="nextTo"/>
        <c:txPr>
          <a:bodyPr rot="0" vert="horz"/>
          <a:lstStyle/>
          <a:p>
            <a:pPr>
              <a:defRPr sz="800" b="0" i="0" u="none" strike="noStrike" baseline="0">
                <a:solidFill>
                  <a:srgbClr val="000000"/>
                </a:solidFill>
                <a:latin typeface="Arial"/>
                <a:ea typeface="Arial"/>
                <a:cs typeface="Arial"/>
              </a:defRPr>
            </a:pPr>
            <a:endParaRPr lang="en-US"/>
          </a:p>
        </c:txPr>
        <c:crossAx val="1"/>
        <c:crosses val="autoZero"/>
        <c:auto val="0"/>
        <c:lblAlgn val="ctr"/>
        <c:lblOffset val="100"/>
        <c:noMultiLvlLbl val="0"/>
      </c:catAx>
      <c:valAx>
        <c:axId val="1"/>
        <c:scaling>
          <c:orientation val="minMax"/>
        </c:scaling>
        <c:delete val="0"/>
        <c:axPos val="l"/>
        <c:majorGridlines>
          <c:spPr>
            <a:ln w="3175">
              <a:solidFill>
                <a:srgbClr val="000000"/>
              </a:solidFill>
              <a:prstDash val="solid"/>
            </a:ln>
          </c:spPr>
        </c:majorGridlines>
        <c:numFmt formatCode="0.0" sourceLinked="1"/>
        <c:majorTickMark val="cross"/>
        <c:minorTickMark val="none"/>
        <c:tickLblPos val="nextTo"/>
        <c:spPr>
          <a:ln w="3175">
            <a:solidFill>
              <a:srgbClr val="000000"/>
            </a:solidFill>
            <a:prstDash val="solid"/>
          </a:ln>
        </c:spPr>
        <c:txPr>
          <a:bodyPr rot="0" vert="horz"/>
          <a:lstStyle/>
          <a:p>
            <a:pPr>
              <a:defRPr sz="800" b="1" i="0" u="none" strike="noStrike" baseline="0">
                <a:solidFill>
                  <a:srgbClr val="4600A5"/>
                </a:solidFill>
                <a:latin typeface="Arial"/>
                <a:ea typeface="Arial"/>
                <a:cs typeface="Arial"/>
              </a:defRPr>
            </a:pPr>
            <a:endParaRPr lang="en-US"/>
          </a:p>
        </c:txPr>
        <c:crossAx val="280846768"/>
        <c:crosses val="autoZero"/>
        <c:crossBetween val="between"/>
      </c:valAx>
      <c:spPr>
        <a:noFill/>
        <a:ln w="25400">
          <a:noFill/>
        </a:ln>
      </c:spPr>
    </c:plotArea>
    <c:legend>
      <c:legendPos val="r"/>
      <c:layout>
        <c:manualLayout>
          <c:xMode val="edge"/>
          <c:yMode val="edge"/>
          <c:x val="0.41383682279090162"/>
          <c:y val="0.13911501437625329"/>
          <c:w val="0.12747251374470289"/>
          <c:h val="4.9032341132613871E-2"/>
        </c:manualLayout>
      </c:layout>
      <c:overlay val="0"/>
      <c:spPr>
        <a:solidFill>
          <a:srgbClr val="FFFFFF"/>
        </a:solidFill>
        <a:ln w="3175">
          <a:solidFill>
            <a:srgbClr val="000000"/>
          </a:solidFill>
          <a:prstDash val="solid"/>
        </a:ln>
      </c:spPr>
      <c:txPr>
        <a:bodyPr/>
        <a:lstStyle/>
        <a:p>
          <a:pPr>
            <a:defRPr sz="126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C0C0C0"/>
    </a:solidFill>
    <a:ln w="9525">
      <a:noFill/>
    </a:ln>
  </c:spPr>
  <c:txPr>
    <a:bodyPr/>
    <a:lstStyle/>
    <a:p>
      <a:pPr>
        <a:defRPr sz="15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000" b="1" i="0" u="none" strike="noStrike" baseline="0">
                <a:solidFill>
                  <a:srgbClr val="000000"/>
                </a:solidFill>
                <a:latin typeface="Arial"/>
                <a:ea typeface="Arial"/>
                <a:cs typeface="Arial"/>
              </a:defRPr>
            </a:pPr>
            <a:r>
              <a:rPr lang="en-US"/>
              <a:t>Main Beam Roll-Off &amp; Sidelobe Positions</a:t>
            </a:r>
          </a:p>
        </c:rich>
      </c:tx>
      <c:layout>
        <c:manualLayout>
          <c:xMode val="edge"/>
          <c:yMode val="edge"/>
          <c:x val="0.22324182537527637"/>
          <c:y val="2.9411854768153983E-2"/>
        </c:manualLayout>
      </c:layout>
      <c:overlay val="0"/>
      <c:spPr>
        <a:noFill/>
        <a:ln w="25400">
          <a:noFill/>
        </a:ln>
      </c:spPr>
    </c:title>
    <c:autoTitleDeleted val="0"/>
    <c:plotArea>
      <c:layout>
        <c:manualLayout>
          <c:layoutTarget val="inner"/>
          <c:xMode val="edge"/>
          <c:yMode val="edge"/>
          <c:x val="0.1182468047659483"/>
          <c:y val="0.25686323694706831"/>
          <c:w val="0.8348632164078591"/>
          <c:h val="0.59215799662606583"/>
        </c:manualLayout>
      </c:layout>
      <c:scatterChart>
        <c:scatterStyle val="smoothMarker"/>
        <c:varyColors val="0"/>
        <c:ser>
          <c:idx val="1"/>
          <c:order val="0"/>
          <c:spPr>
            <a:ln w="25400">
              <a:solidFill>
                <a:srgbClr val="333333"/>
              </a:solidFill>
              <a:prstDash val="solid"/>
            </a:ln>
          </c:spPr>
          <c:marker>
            <c:symbol val="none"/>
          </c:marker>
          <c:xVal>
            <c:numRef>
              <c:f>'Beam Roll-Off Tool'!$I$15:$I$106</c:f>
              <c:numCache>
                <c:formatCode>0.000</c:formatCode>
                <c:ptCount val="92"/>
                <c:pt idx="0" formatCode="0.0000">
                  <c:v>1.1892044697778975E-7</c:v>
                </c:pt>
                <c:pt idx="1">
                  <c:v>1.1892044697778976E-4</c:v>
                </c:pt>
                <c:pt idx="2">
                  <c:v>4.1622156442226417E-3</c:v>
                </c:pt>
                <c:pt idx="3">
                  <c:v>1.1892044697778974E-2</c:v>
                </c:pt>
                <c:pt idx="4" formatCode="0.0">
                  <c:v>2.9730111744447441E-2</c:v>
                </c:pt>
                <c:pt idx="5" formatCode="0.0">
                  <c:v>3.5676134093336927E-2</c:v>
                </c:pt>
                <c:pt idx="6" formatCode="0.00">
                  <c:v>4.7568178791115898E-2</c:v>
                </c:pt>
                <c:pt idx="7" formatCode="0.00">
                  <c:v>5.5892610079561179E-2</c:v>
                </c:pt>
                <c:pt idx="8" formatCode="0.0">
                  <c:v>6.7190052542451209E-2</c:v>
                </c:pt>
                <c:pt idx="9" formatCode="0.0">
                  <c:v>7.1352268186673853E-2</c:v>
                </c:pt>
                <c:pt idx="10" formatCode="0.00">
                  <c:v>7.7298290535563335E-2</c:v>
                </c:pt>
                <c:pt idx="11" formatCode="0.0">
                  <c:v>8.3244312884452831E-2</c:v>
                </c:pt>
                <c:pt idx="12" formatCode="0.00">
                  <c:v>9.4850948509485111E-2</c:v>
                </c:pt>
                <c:pt idx="13" formatCode="0.0">
                  <c:v>9.5136357582231795E-2</c:v>
                </c:pt>
                <c:pt idx="14" formatCode="0.0">
                  <c:v>0.10797976585583309</c:v>
                </c:pt>
                <c:pt idx="15" formatCode="0.00">
                  <c:v>0.11892044697778976</c:v>
                </c:pt>
                <c:pt idx="16" formatCode="0.0">
                  <c:v>0.13081249167556874</c:v>
                </c:pt>
                <c:pt idx="17" formatCode="0.0">
                  <c:v>0.1450829453129035</c:v>
                </c:pt>
                <c:pt idx="18" formatCode="0.0">
                  <c:v>0.15459658107112667</c:v>
                </c:pt>
                <c:pt idx="19" formatCode="0.00">
                  <c:v>0.15798581380999369</c:v>
                </c:pt>
                <c:pt idx="20" formatCode="0.0">
                  <c:v>0.16648862576890566</c:v>
                </c:pt>
                <c:pt idx="21" formatCode="0.0">
                  <c:v>0.17838067046668463</c:v>
                </c:pt>
                <c:pt idx="22" formatCode="0.0">
                  <c:v>0.19027271516446359</c:v>
                </c:pt>
                <c:pt idx="23">
                  <c:v>0.20513777103668729</c:v>
                </c:pt>
                <c:pt idx="24" formatCode="0.0">
                  <c:v>0.21405680456002157</c:v>
                </c:pt>
                <c:pt idx="25" formatCode="0.0">
                  <c:v>0.22594884925780051</c:v>
                </c:pt>
                <c:pt idx="26" formatCode="0.0">
                  <c:v>0.23784089395557953</c:v>
                </c:pt>
                <c:pt idx="27" formatCode="0.0">
                  <c:v>0.24973293865335847</c:v>
                </c:pt>
                <c:pt idx="28" formatCode="0.0">
                  <c:v>0.26162498335113749</c:v>
                </c:pt>
                <c:pt idx="29" formatCode="0.0">
                  <c:v>0.27351702804891642</c:v>
                </c:pt>
                <c:pt idx="30" formatCode="0.0">
                  <c:v>0.28540907274669541</c:v>
                </c:pt>
                <c:pt idx="31" formatCode="0.0">
                  <c:v>0.29730111744447435</c:v>
                </c:pt>
                <c:pt idx="32" formatCode="0.0">
                  <c:v>0.30919316214225334</c:v>
                </c:pt>
                <c:pt idx="33" formatCode="0.0">
                  <c:v>0.32108520684003233</c:v>
                </c:pt>
                <c:pt idx="34" formatCode="0.0">
                  <c:v>0.33297725153781133</c:v>
                </c:pt>
                <c:pt idx="35" formatCode="0.0">
                  <c:v>0.34486929623559026</c:v>
                </c:pt>
                <c:pt idx="36" formatCode="0.0">
                  <c:v>0.35676134093336925</c:v>
                </c:pt>
                <c:pt idx="37" formatCode="0.0">
                  <c:v>0.36865338563114819</c:v>
                </c:pt>
                <c:pt idx="38" formatCode="0.0">
                  <c:v>0.38054543032892718</c:v>
                </c:pt>
                <c:pt idx="39" formatCode="0.0">
                  <c:v>0.39243747502670617</c:v>
                </c:pt>
                <c:pt idx="40" formatCode="0.0">
                  <c:v>0.40432951972448516</c:v>
                </c:pt>
                <c:pt idx="41" formatCode="0.0">
                  <c:v>0.41622156442226416</c:v>
                </c:pt>
                <c:pt idx="42" formatCode="0.0">
                  <c:v>0.42811360912004315</c:v>
                </c:pt>
                <c:pt idx="43" formatCode="0.0">
                  <c:v>0.44000565381782203</c:v>
                </c:pt>
                <c:pt idx="44" formatCode="0.0">
                  <c:v>0.45189769851560102</c:v>
                </c:pt>
                <c:pt idx="45" formatCode="0.0">
                  <c:v>0.46378974321338007</c:v>
                </c:pt>
                <c:pt idx="46" formatCode="0.0">
                  <c:v>0.47568178791115906</c:v>
                </c:pt>
                <c:pt idx="47" formatCode="0.0">
                  <c:v>0.48757383260893794</c:v>
                </c:pt>
                <c:pt idx="48" formatCode="0.0">
                  <c:v>0.49946587730671693</c:v>
                </c:pt>
                <c:pt idx="49" formatCode="0.0">
                  <c:v>0.51135792200449592</c:v>
                </c:pt>
                <c:pt idx="50" formatCode="0.0">
                  <c:v>0.52324996670227497</c:v>
                </c:pt>
                <c:pt idx="51" formatCode="0.0">
                  <c:v>0.5351420114000538</c:v>
                </c:pt>
                <c:pt idx="52" formatCode="0.0">
                  <c:v>0.54703405609783284</c:v>
                </c:pt>
                <c:pt idx="53" formatCode="0.0">
                  <c:v>0.55892610079561178</c:v>
                </c:pt>
                <c:pt idx="54" formatCode="0.0">
                  <c:v>0.57081814549339083</c:v>
                </c:pt>
                <c:pt idx="55" formatCode="0.0">
                  <c:v>0.58271019019116987</c:v>
                </c:pt>
                <c:pt idx="56" formatCode="0.0">
                  <c:v>0.5946022348889487</c:v>
                </c:pt>
                <c:pt idx="57" formatCode="0.0">
                  <c:v>0.60649427958672775</c:v>
                </c:pt>
                <c:pt idx="58" formatCode="0.0">
                  <c:v>0.61838632428450668</c:v>
                </c:pt>
                <c:pt idx="59" formatCode="0.0">
                  <c:v>0.63027836898228573</c:v>
                </c:pt>
                <c:pt idx="60" formatCode="0.0">
                  <c:v>0.64217041368006467</c:v>
                </c:pt>
                <c:pt idx="61" formatCode="0.0">
                  <c:v>0.6540624583778436</c:v>
                </c:pt>
                <c:pt idx="62" formatCode="0.0">
                  <c:v>0.66595450307562265</c:v>
                </c:pt>
                <c:pt idx="63" formatCode="0.0">
                  <c:v>0.67784654777340159</c:v>
                </c:pt>
                <c:pt idx="64" formatCode="0.0">
                  <c:v>0.68973859247118052</c:v>
                </c:pt>
                <c:pt idx="65" formatCode="0.0">
                  <c:v>0.70163063716895946</c:v>
                </c:pt>
                <c:pt idx="66" formatCode="0.0">
                  <c:v>0.71352268186673851</c:v>
                </c:pt>
                <c:pt idx="67" formatCode="0.0">
                  <c:v>0.72541472656451755</c:v>
                </c:pt>
                <c:pt idx="68" formatCode="0.0">
                  <c:v>0.73730677126229638</c:v>
                </c:pt>
                <c:pt idx="69" formatCode="0.0">
                  <c:v>0.74919881596007543</c:v>
                </c:pt>
                <c:pt idx="70" formatCode="0.0">
                  <c:v>0.76109086065785436</c:v>
                </c:pt>
                <c:pt idx="71" formatCode="0.0">
                  <c:v>0.77298290535563341</c:v>
                </c:pt>
                <c:pt idx="72" formatCode="0.0">
                  <c:v>0.79676699475119128</c:v>
                </c:pt>
                <c:pt idx="73" formatCode="0.0">
                  <c:v>0.80865903944897033</c:v>
                </c:pt>
                <c:pt idx="74" formatCode="0.0">
                  <c:v>0.82055108414674915</c:v>
                </c:pt>
                <c:pt idx="75" formatCode="0.0">
                  <c:v>0.83244312884452831</c:v>
                </c:pt>
                <c:pt idx="76" formatCode="0.0">
                  <c:v>0.84433517354230725</c:v>
                </c:pt>
                <c:pt idx="77" formatCode="0.0">
                  <c:v>0.8562272182400863</c:v>
                </c:pt>
                <c:pt idx="78" formatCode="0.0">
                  <c:v>0.86811926293786523</c:v>
                </c:pt>
                <c:pt idx="79" formatCode="0.0">
                  <c:v>0.88001130763564406</c:v>
                </c:pt>
                <c:pt idx="80" formatCode="0.0">
                  <c:v>0.89190335233342322</c:v>
                </c:pt>
                <c:pt idx="81" formatCode="0.0">
                  <c:v>0.90379539703120204</c:v>
                </c:pt>
                <c:pt idx="82" formatCode="0.0">
                  <c:v>0.91568744172898098</c:v>
                </c:pt>
                <c:pt idx="83" formatCode="0.0">
                  <c:v>0.92757948642676014</c:v>
                </c:pt>
                <c:pt idx="84" formatCode="0.0">
                  <c:v>0.93947153112453896</c:v>
                </c:pt>
                <c:pt idx="85" formatCode="0.0">
                  <c:v>0.95136357582231812</c:v>
                </c:pt>
                <c:pt idx="86" formatCode="0.0">
                  <c:v>0.96325562052009694</c:v>
                </c:pt>
                <c:pt idx="87" formatCode="0.0">
                  <c:v>0.97514766521787588</c:v>
                </c:pt>
                <c:pt idx="88" formatCode="0.0">
                  <c:v>0.98703970991565493</c:v>
                </c:pt>
                <c:pt idx="89" formatCode="0.0">
                  <c:v>0.99893175461343386</c:v>
                </c:pt>
              </c:numCache>
            </c:numRef>
          </c:xVal>
          <c:yVal>
            <c:numRef>
              <c:f>'Beam Roll-Off Tool'!$F$15:$F$105</c:f>
              <c:numCache>
                <c:formatCode>0.000000</c:formatCode>
                <c:ptCount val="91"/>
                <c:pt idx="0" formatCode="0.00">
                  <c:v>0</c:v>
                </c:pt>
                <c:pt idx="1">
                  <c:v>-4.1276892246433878E-6</c:v>
                </c:pt>
                <c:pt idx="2" formatCode="0.00">
                  <c:v>-5.4023812889198589E-3</c:v>
                </c:pt>
                <c:pt idx="3" formatCode="0.00">
                  <c:v>-4.4142469484505009E-2</c:v>
                </c:pt>
                <c:pt idx="4" formatCode="0.0">
                  <c:v>-0.27738205509447322</c:v>
                </c:pt>
                <c:pt idx="5" formatCode="0.0">
                  <c:v>-0.4005720773893886</c:v>
                </c:pt>
                <c:pt idx="6" formatCode="0.0">
                  <c:v>-0.71739696122706598</c:v>
                </c:pt>
                <c:pt idx="7" formatCode="0.00">
                  <c:v>-0.99695495164283776</c:v>
                </c:pt>
                <c:pt idx="8" formatCode="0.0">
                  <c:v>-1.4563842277584849</c:v>
                </c:pt>
                <c:pt idx="9" formatCode="0.0">
                  <c:v>-1.6499594434723883</c:v>
                </c:pt>
                <c:pt idx="10" formatCode="0.0">
                  <c:v>-1.9502999728456567</c:v>
                </c:pt>
                <c:pt idx="11" formatCode="0.0">
                  <c:v>-2.2797915411429233</c:v>
                </c:pt>
                <c:pt idx="12" formatCode="0.00">
                  <c:v>-3.0127147753460362</c:v>
                </c:pt>
                <c:pt idx="13" formatCode="0.00">
                  <c:v>-3.032317630156677</c:v>
                </c:pt>
                <c:pt idx="14" formatCode="0.00">
                  <c:v>-4.000110747103232</c:v>
                </c:pt>
                <c:pt idx="15" formatCode="0.0">
                  <c:v>-4.9705178903178053</c:v>
                </c:pt>
                <c:pt idx="16" formatCode="0.0">
                  <c:v>-6.2056844440222871</c:v>
                </c:pt>
                <c:pt idx="17" formatCode="0.0">
                  <c:v>-7.9963340130062619</c:v>
                </c:pt>
                <c:pt idx="18" formatCode="0.0">
                  <c:v>-9.4313347847828624</c:v>
                </c:pt>
                <c:pt idx="19" formatCode="0.00">
                  <c:v>-10.001079502146041</c:v>
                </c:pt>
                <c:pt idx="20" formatCode="0.0">
                  <c:v>-11.598757848232577</c:v>
                </c:pt>
                <c:pt idx="21" formatCode="0.0">
                  <c:v>-14.379972164109764</c:v>
                </c:pt>
                <c:pt idx="22" formatCode="0.0">
                  <c:v>-18.23891302992466</c:v>
                </c:pt>
                <c:pt idx="23" formatCode="0.0">
                  <c:v>-27.259375683380821</c:v>
                </c:pt>
                <c:pt idx="24" formatCode="0.0">
                  <c:v>-328.17922283873054</c:v>
                </c:pt>
                <c:pt idx="25" formatCode="0.0">
                  <c:v>-25.619214488541079</c:v>
                </c:pt>
                <c:pt idx="26" formatCode="0.0">
                  <c:v>-20.177113290085799</c:v>
                </c:pt>
                <c:pt idx="27" formatCode="0.0">
                  <c:v>-17.302532877674523</c:v>
                </c:pt>
                <c:pt idx="28" formatCode="0.0">
                  <c:v>-15.524650751111944</c:v>
                </c:pt>
                <c:pt idx="29" formatCode="0.0">
                  <c:v>-14.387024458997985</c:v>
                </c:pt>
                <c:pt idx="30" formatCode="0.0">
                  <c:v>-13.691159270031637</c:v>
                </c:pt>
                <c:pt idx="31" formatCode="0.0">
                  <c:v>-13.336630914298537</c:v>
                </c:pt>
                <c:pt idx="32" formatCode="0.0">
                  <c:v>-13.269984849734165</c:v>
                </c:pt>
                <c:pt idx="33" formatCode="0.0">
                  <c:v>-13.464822352896261</c:v>
                </c:pt>
                <c:pt idx="34" formatCode="0.0">
                  <c:v>-13.91367851716219</c:v>
                </c:pt>
                <c:pt idx="35" formatCode="0.0">
                  <c:v>-14.625790698836909</c:v>
                </c:pt>
                <c:pt idx="36" formatCode="0.0">
                  <c:v>-15.629359530192763</c:v>
                </c:pt>
                <c:pt idx="37" formatCode="0.0">
                  <c:v>-16.979701615331578</c:v>
                </c:pt>
                <c:pt idx="38" formatCode="0.0">
                  <c:v>-18.779196701065931</c:v>
                </c:pt>
                <c:pt idx="39" formatCode="0.0">
                  <c:v>-21.228425780553884</c:v>
                </c:pt>
                <c:pt idx="40" formatCode="0.0">
                  <c:v>-24.786091717651274</c:v>
                </c:pt>
                <c:pt idx="41" formatCode="0.0">
                  <c:v>-30.925503356490015</c:v>
                </c:pt>
                <c:pt idx="42" formatCode="0.0">
                  <c:v>-328.17922283873054</c:v>
                </c:pt>
                <c:pt idx="43" formatCode="0.0">
                  <c:v>-31.408176950824426</c:v>
                </c:pt>
                <c:pt idx="44" formatCode="0.0">
                  <c:v>-25.752185309142369</c:v>
                </c:pt>
                <c:pt idx="45" formatCode="0.0">
                  <c:v>-22.679439123526123</c:v>
                </c:pt>
                <c:pt idx="46" formatCode="0.0">
                  <c:v>-20.717396961227067</c:v>
                </c:pt>
                <c:pt idx="47" formatCode="0.0">
                  <c:v>-19.40814487304084</c:v>
                </c:pt>
                <c:pt idx="48" formatCode="0.0">
                  <c:v>-18.551920243757522</c:v>
                </c:pt>
                <c:pt idx="49" formatCode="0.0">
                  <c:v>-18.047199852449516</c:v>
                </c:pt>
                <c:pt idx="50" formatCode="0.0">
                  <c:v>-17.839571420041555</c:v>
                </c:pt>
                <c:pt idx="51" formatCode="0.0">
                  <c:v>-17.90179734522339</c:v>
                </c:pt>
                <c:pt idx="52" formatCode="0.0">
                  <c:v>-18.225674523949287</c:v>
                </c:pt>
                <c:pt idx="53" formatCode="0.0">
                  <c:v>-18.819787899572134</c:v>
                </c:pt>
                <c:pt idx="54" formatCode="0.0">
                  <c:v>-19.711759183311251</c:v>
                </c:pt>
                <c:pt idx="55" formatCode="0.0">
                  <c:v>-20.956389339216408</c:v>
                </c:pt>
                <c:pt idx="56" formatCode="0.0">
                  <c:v>-22.655597221388199</c:v>
                </c:pt>
                <c:pt idx="57" formatCode="0.0">
                  <c:v>-25.009550504954873</c:v>
                </c:pt>
                <c:pt idx="58" formatCode="0.0">
                  <c:v>-28.476580249502152</c:v>
                </c:pt>
                <c:pt idx="59" formatCode="0.0">
                  <c:v>-34.529659861500278</c:v>
                </c:pt>
                <c:pt idx="60" formatCode="0.0">
                  <c:v>-328.17922283873054</c:v>
                </c:pt>
                <c:pt idx="61" formatCode="0.0">
                  <c:v>-34.851396259369409</c:v>
                </c:pt>
                <c:pt idx="62" formatCode="0.0">
                  <c:v>-29.120273916930199</c:v>
                </c:pt>
                <c:pt idx="63" formatCode="0.0">
                  <c:v>-25.975644096445979</c:v>
                </c:pt>
                <c:pt idx="64" formatCode="0.0">
                  <c:v>-23.944757005926558</c:v>
                </c:pt>
                <c:pt idx="65" formatCode="0.0">
                  <c:v>-22.56950797148901</c:v>
                </c:pt>
                <c:pt idx="66" formatCode="0.0">
                  <c:v>-21.64995944347239</c:v>
                </c:pt>
                <c:pt idx="67" formatCode="0.0">
                  <c:v>-21.084427441073128</c:v>
                </c:pt>
                <c:pt idx="68" formatCode="0.0">
                  <c:v>-20.818351680282881</c:v>
                </c:pt>
                <c:pt idx="69" formatCode="0.0">
                  <c:v>-20.82435805878815</c:v>
                </c:pt>
                <c:pt idx="70" formatCode="0.0">
                  <c:v>-21.094117369995548</c:v>
                </c:pt>
                <c:pt idx="71" formatCode="0.0">
                  <c:v>-21.636097873714895</c:v>
                </c:pt>
                <c:pt idx="72" formatCode="0.0">
                  <c:v>-23.673963792662658</c:v>
                </c:pt>
                <c:pt idx="73" formatCode="0.0">
                  <c:v>-25.326375388792549</c:v>
                </c:pt>
                <c:pt idx="74" formatCode="0.0">
                  <c:v>-27.635128797741245</c:v>
                </c:pt>
                <c:pt idx="75" formatCode="0.0">
                  <c:v>-31.058474177091306</c:v>
                </c:pt>
                <c:pt idx="76" formatCode="0.0">
                  <c:v>-37.069309443865997</c:v>
                </c:pt>
                <c:pt idx="77" formatCode="0.0">
                  <c:v>-328.17922283873054</c:v>
                </c:pt>
                <c:pt idx="78" formatCode="0.0">
                  <c:v>-37.310599671893655</c:v>
                </c:pt>
                <c:pt idx="79" formatCode="0.0">
                  <c:v>-31.541147771425713</c:v>
                </c:pt>
                <c:pt idx="80" formatCode="0.0">
                  <c:v>-28.359372250830155</c:v>
                </c:pt>
                <c:pt idx="81" formatCode="0.0">
                  <c:v>-26.292468980283637</c:v>
                </c:pt>
                <c:pt idx="82" formatCode="0.0">
                  <c:v>-24.882282242095762</c:v>
                </c:pt>
                <c:pt idx="83" formatCode="0.0">
                  <c:v>-23.928826489609122</c:v>
                </c:pt>
                <c:pt idx="84" formatCode="0.0">
                  <c:v>-23.330372566666618</c:v>
                </c:pt>
                <c:pt idx="85" formatCode="0.0">
                  <c:v>-23.032317630156676</c:v>
                </c:pt>
                <c:pt idx="86" formatCode="0.0">
                  <c:v>-23.007247447289512</c:v>
                </c:pt>
                <c:pt idx="87" formatCode="0.0">
                  <c:v>-23.246794937992135</c:v>
                </c:pt>
                <c:pt idx="88" formatCode="0.0">
                  <c:v>-23.75939258837926</c:v>
                </c:pt>
                <c:pt idx="89" formatCode="0.0">
                  <c:v>-24.572520157037154</c:v>
                </c:pt>
              </c:numCache>
            </c:numRef>
          </c:yVal>
          <c:smooth val="1"/>
          <c:extLst>
            <c:ext xmlns:c16="http://schemas.microsoft.com/office/drawing/2014/chart" uri="{C3380CC4-5D6E-409C-BE32-E72D297353CC}">
              <c16:uniqueId val="{00000000-BF02-45F7-8217-ED3C7BE8A22E}"/>
            </c:ext>
          </c:extLst>
        </c:ser>
        <c:dLbls>
          <c:showLegendKey val="0"/>
          <c:showVal val="0"/>
          <c:showCatName val="0"/>
          <c:showSerName val="0"/>
          <c:showPercent val="0"/>
          <c:showBubbleSize val="0"/>
        </c:dLbls>
        <c:axId val="280906912"/>
        <c:axId val="1"/>
      </c:scatterChart>
      <c:valAx>
        <c:axId val="280906912"/>
        <c:scaling>
          <c:orientation val="minMax"/>
        </c:scaling>
        <c:delete val="0"/>
        <c:axPos val="b"/>
        <c:majorGridlines>
          <c:spPr>
            <a:ln w="3175">
              <a:solidFill>
                <a:srgbClr val="000000"/>
              </a:solidFill>
              <a:prstDash val="solid"/>
            </a:ln>
          </c:spPr>
        </c:majorGridlines>
        <c:title>
          <c:tx>
            <c:rich>
              <a:bodyPr/>
              <a:lstStyle/>
              <a:p>
                <a:pPr>
                  <a:defRPr sz="1675" b="1" i="0" u="none" strike="noStrike" baseline="0">
                    <a:solidFill>
                      <a:srgbClr val="000000"/>
                    </a:solidFill>
                    <a:latin typeface="Arial"/>
                    <a:ea typeface="Arial"/>
                    <a:cs typeface="Arial"/>
                  </a:defRPr>
                </a:pPr>
                <a:r>
                  <a:rPr lang="en-US"/>
                  <a:t>Angle from Boresight (Degrees)</a:t>
                </a:r>
              </a:p>
            </c:rich>
          </c:tx>
          <c:layout>
            <c:manualLayout>
              <c:xMode val="edge"/>
              <c:yMode val="edge"/>
              <c:x val="0.36901157829409259"/>
              <c:y val="0.88627624671916005"/>
            </c:manualLayout>
          </c:layout>
          <c:overlay val="0"/>
          <c:spPr>
            <a:noFill/>
            <a:ln w="25400">
              <a:noFill/>
            </a:ln>
          </c:spPr>
        </c:title>
        <c:numFmt formatCode="0.00" sourceLinked="0"/>
        <c:majorTickMark val="out"/>
        <c:minorTickMark val="out"/>
        <c:tickLblPos val="high"/>
        <c:spPr>
          <a:ln w="3175">
            <a:solidFill>
              <a:srgbClr val="000000"/>
            </a:solidFill>
            <a:prstDash val="solid"/>
          </a:ln>
        </c:spPr>
        <c:txPr>
          <a:bodyPr rot="0" vert="horz"/>
          <a:lstStyle/>
          <a:p>
            <a:pPr>
              <a:defRPr sz="1675" b="0" i="0" u="none" strike="noStrike" baseline="0">
                <a:solidFill>
                  <a:srgbClr val="000000"/>
                </a:solidFill>
                <a:latin typeface="Arial"/>
                <a:ea typeface="Arial"/>
                <a:cs typeface="Arial"/>
              </a:defRPr>
            </a:pPr>
            <a:endParaRPr lang="en-US"/>
          </a:p>
        </c:txPr>
        <c:crossAx val="1"/>
        <c:crosses val="autoZero"/>
        <c:crossBetween val="midCat"/>
      </c:valAx>
      <c:valAx>
        <c:axId val="1"/>
        <c:scaling>
          <c:orientation val="minMax"/>
          <c:max val="0"/>
          <c:min val="-50"/>
        </c:scaling>
        <c:delete val="0"/>
        <c:axPos val="l"/>
        <c:majorGridlines>
          <c:spPr>
            <a:ln w="3175">
              <a:solidFill>
                <a:srgbClr val="000000"/>
              </a:solidFill>
              <a:prstDash val="solid"/>
            </a:ln>
          </c:spPr>
        </c:majorGridlines>
        <c:title>
          <c:tx>
            <c:rich>
              <a:bodyPr/>
              <a:lstStyle/>
              <a:p>
                <a:pPr>
                  <a:defRPr sz="1675" b="1" i="0" u="none" strike="noStrike" baseline="0">
                    <a:solidFill>
                      <a:srgbClr val="000000"/>
                    </a:solidFill>
                    <a:latin typeface="Arial"/>
                    <a:ea typeface="Arial"/>
                    <a:cs typeface="Arial"/>
                  </a:defRPr>
                </a:pPr>
                <a:r>
                  <a:rPr lang="en-US"/>
                  <a:t> Amplitude w.r.t. Peak Gain (dB)</a:t>
                </a:r>
              </a:p>
            </c:rich>
          </c:tx>
          <c:layout>
            <c:manualLayout>
              <c:xMode val="edge"/>
              <c:yMode val="edge"/>
              <c:x val="1.7329234707730502E-2"/>
              <c:y val="0.27647112860892392"/>
            </c:manualLayout>
          </c:layout>
          <c:overlay val="0"/>
          <c:spPr>
            <a:noFill/>
            <a:ln w="25400">
              <a:noFill/>
            </a:ln>
          </c:spPr>
        </c:title>
        <c:numFmt formatCode="General" sourceLinked="0"/>
        <c:majorTickMark val="out"/>
        <c:minorTickMark val="out"/>
        <c:tickLblPos val="nextTo"/>
        <c:spPr>
          <a:ln w="3175">
            <a:solidFill>
              <a:srgbClr val="000000"/>
            </a:solidFill>
            <a:prstDash val="solid"/>
          </a:ln>
        </c:spPr>
        <c:txPr>
          <a:bodyPr rot="0" vert="horz"/>
          <a:lstStyle/>
          <a:p>
            <a:pPr>
              <a:defRPr sz="1675" b="0" i="0" u="none" strike="noStrike" baseline="0">
                <a:solidFill>
                  <a:srgbClr val="000000"/>
                </a:solidFill>
                <a:latin typeface="Arial"/>
                <a:ea typeface="Arial"/>
                <a:cs typeface="Arial"/>
              </a:defRPr>
            </a:pPr>
            <a:endParaRPr lang="en-US"/>
          </a:p>
        </c:txPr>
        <c:crossAx val="280906912"/>
        <c:crosses val="autoZero"/>
        <c:crossBetween val="midCat"/>
        <c:majorUnit val="5"/>
        <c:minorUnit val="1"/>
      </c:valAx>
      <c:spPr>
        <a:solidFill>
          <a:srgbClr val="CCFFCC"/>
        </a:solidFill>
        <a:ln w="12700">
          <a:solidFill>
            <a:srgbClr val="808080"/>
          </a:solidFill>
          <a:prstDash val="solid"/>
        </a:ln>
      </c:spPr>
    </c:plotArea>
    <c:plotVisOnly val="1"/>
    <c:dispBlanksAs val="gap"/>
    <c:showDLblsOverMax val="0"/>
  </c:chart>
  <c:spPr>
    <a:solidFill>
      <a:srgbClr val="33CCCC"/>
    </a:solidFill>
    <a:ln w="3175">
      <a:solidFill>
        <a:srgbClr val="000000"/>
      </a:solidFill>
      <a:prstDash val="solid"/>
    </a:ln>
  </c:spPr>
  <c:txPr>
    <a:bodyPr/>
    <a:lstStyle/>
    <a:p>
      <a:pPr>
        <a:defRPr sz="16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horizontalDpi="96" verticalDpi="96"/>
  </c:printSettings>
</c:chartSpace>
</file>

<file path=xl/drawings/_rels/drawing1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chart" Target="../charts/chart3.xml"/><Relationship Id="rId5" Type="http://schemas.openxmlformats.org/officeDocument/2006/relationships/chart" Target="../charts/chart4.xml"/><Relationship Id="rId4" Type="http://schemas.openxmlformats.org/officeDocument/2006/relationships/image" Target="../media/image4.png"/></Relationships>
</file>

<file path=xl/drawings/_rels/drawing17.xml.rels><?xml version="1.0" encoding="UTF-8" standalone="yes"?>
<Relationships xmlns="http://schemas.openxmlformats.org/package/2006/relationships"><Relationship Id="rId1" Type="http://schemas.openxmlformats.org/officeDocument/2006/relationships/chart" Target="../charts/chart5.xml"/></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7.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7</xdr:col>
      <xdr:colOff>419100</xdr:colOff>
      <xdr:row>4</xdr:row>
      <xdr:rowOff>95250</xdr:rowOff>
    </xdr:from>
    <xdr:to>
      <xdr:col>8</xdr:col>
      <xdr:colOff>95250</xdr:colOff>
      <xdr:row>4</xdr:row>
      <xdr:rowOff>95250</xdr:rowOff>
    </xdr:to>
    <xdr:sp macro="" textlink="">
      <xdr:nvSpPr>
        <xdr:cNvPr id="2743" name="Line 3">
          <a:extLst>
            <a:ext uri="{FF2B5EF4-FFF2-40B4-BE49-F238E27FC236}">
              <a16:creationId xmlns:a16="http://schemas.microsoft.com/office/drawing/2014/main" id="{CDE2BE7F-72A3-4C67-8092-9C2A0A2AD9F7}"/>
            </a:ext>
          </a:extLst>
        </xdr:cNvPr>
        <xdr:cNvSpPr>
          <a:spLocks noChangeShapeType="1"/>
        </xdr:cNvSpPr>
      </xdr:nvSpPr>
      <xdr:spPr bwMode="auto">
        <a:xfrm flipV="1">
          <a:off x="9340850" y="1219200"/>
          <a:ext cx="2667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95250</xdr:colOff>
      <xdr:row>4</xdr:row>
      <xdr:rowOff>107950</xdr:rowOff>
    </xdr:from>
    <xdr:to>
      <xdr:col>8</xdr:col>
      <xdr:colOff>95250</xdr:colOff>
      <xdr:row>5</xdr:row>
      <xdr:rowOff>101600</xdr:rowOff>
    </xdr:to>
    <xdr:sp macro="" textlink="">
      <xdr:nvSpPr>
        <xdr:cNvPr id="2744" name="Line 4">
          <a:extLst>
            <a:ext uri="{FF2B5EF4-FFF2-40B4-BE49-F238E27FC236}">
              <a16:creationId xmlns:a16="http://schemas.microsoft.com/office/drawing/2014/main" id="{57C28849-44F7-4A35-BD11-9E95498089F8}"/>
            </a:ext>
          </a:extLst>
        </xdr:cNvPr>
        <xdr:cNvSpPr>
          <a:spLocks noChangeShapeType="1"/>
        </xdr:cNvSpPr>
      </xdr:nvSpPr>
      <xdr:spPr bwMode="auto">
        <a:xfrm>
          <a:off x="9607550" y="1231900"/>
          <a:ext cx="0" cy="1587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8</xdr:col>
      <xdr:colOff>127000</xdr:colOff>
      <xdr:row>7</xdr:row>
      <xdr:rowOff>63500</xdr:rowOff>
    </xdr:from>
    <xdr:to>
      <xdr:col>8</xdr:col>
      <xdr:colOff>127000</xdr:colOff>
      <xdr:row>8</xdr:row>
      <xdr:rowOff>139700</xdr:rowOff>
    </xdr:to>
    <xdr:sp macro="" textlink="">
      <xdr:nvSpPr>
        <xdr:cNvPr id="2745" name="Line 5">
          <a:extLst>
            <a:ext uri="{FF2B5EF4-FFF2-40B4-BE49-F238E27FC236}">
              <a16:creationId xmlns:a16="http://schemas.microsoft.com/office/drawing/2014/main" id="{850F7BFE-9644-45D6-A172-A8504F9B0C41}"/>
            </a:ext>
          </a:extLst>
        </xdr:cNvPr>
        <xdr:cNvSpPr>
          <a:spLocks noChangeShapeType="1"/>
        </xdr:cNvSpPr>
      </xdr:nvSpPr>
      <xdr:spPr bwMode="auto">
        <a:xfrm>
          <a:off x="9639300" y="1720850"/>
          <a:ext cx="0" cy="2730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8</xdr:col>
      <xdr:colOff>127000</xdr:colOff>
      <xdr:row>10</xdr:row>
      <xdr:rowOff>63500</xdr:rowOff>
    </xdr:from>
    <xdr:to>
      <xdr:col>8</xdr:col>
      <xdr:colOff>127000</xdr:colOff>
      <xdr:row>18</xdr:row>
      <xdr:rowOff>76200</xdr:rowOff>
    </xdr:to>
    <xdr:sp macro="" textlink="">
      <xdr:nvSpPr>
        <xdr:cNvPr id="2746" name="Line 6">
          <a:extLst>
            <a:ext uri="{FF2B5EF4-FFF2-40B4-BE49-F238E27FC236}">
              <a16:creationId xmlns:a16="http://schemas.microsoft.com/office/drawing/2014/main" id="{984605A8-58A4-4886-9467-B5021B92D4F7}"/>
            </a:ext>
          </a:extLst>
        </xdr:cNvPr>
        <xdr:cNvSpPr>
          <a:spLocks noChangeShapeType="1"/>
        </xdr:cNvSpPr>
      </xdr:nvSpPr>
      <xdr:spPr bwMode="auto">
        <a:xfrm flipH="1">
          <a:off x="9639300" y="2286000"/>
          <a:ext cx="0" cy="15811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8</xdr:col>
      <xdr:colOff>139700</xdr:colOff>
      <xdr:row>20</xdr:row>
      <xdr:rowOff>50800</xdr:rowOff>
    </xdr:from>
    <xdr:to>
      <xdr:col>8</xdr:col>
      <xdr:colOff>139700</xdr:colOff>
      <xdr:row>21</xdr:row>
      <xdr:rowOff>165100</xdr:rowOff>
    </xdr:to>
    <xdr:sp macro="" textlink="">
      <xdr:nvSpPr>
        <xdr:cNvPr id="2747" name="Line 18">
          <a:extLst>
            <a:ext uri="{FF2B5EF4-FFF2-40B4-BE49-F238E27FC236}">
              <a16:creationId xmlns:a16="http://schemas.microsoft.com/office/drawing/2014/main" id="{5195CFBE-BDF0-4FE0-9E9D-7013578FB93A}"/>
            </a:ext>
          </a:extLst>
        </xdr:cNvPr>
        <xdr:cNvSpPr>
          <a:spLocks noChangeShapeType="1"/>
        </xdr:cNvSpPr>
      </xdr:nvSpPr>
      <xdr:spPr bwMode="auto">
        <a:xfrm>
          <a:off x="9652000" y="4248150"/>
          <a:ext cx="0" cy="3111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82550</xdr:colOff>
      <xdr:row>19</xdr:row>
      <xdr:rowOff>114300</xdr:rowOff>
    </xdr:from>
    <xdr:to>
      <xdr:col>7</xdr:col>
      <xdr:colOff>488950</xdr:colOff>
      <xdr:row>19</xdr:row>
      <xdr:rowOff>114300</xdr:rowOff>
    </xdr:to>
    <xdr:sp macro="" textlink="">
      <xdr:nvSpPr>
        <xdr:cNvPr id="2748" name="Line 19">
          <a:extLst>
            <a:ext uri="{FF2B5EF4-FFF2-40B4-BE49-F238E27FC236}">
              <a16:creationId xmlns:a16="http://schemas.microsoft.com/office/drawing/2014/main" id="{037380BE-8C80-42AB-8005-000C36614245}"/>
            </a:ext>
          </a:extLst>
        </xdr:cNvPr>
        <xdr:cNvSpPr>
          <a:spLocks noChangeShapeType="1"/>
        </xdr:cNvSpPr>
      </xdr:nvSpPr>
      <xdr:spPr bwMode="auto">
        <a:xfrm>
          <a:off x="8388350" y="4108450"/>
          <a:ext cx="10223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279400</xdr:colOff>
      <xdr:row>21</xdr:row>
      <xdr:rowOff>50800</xdr:rowOff>
    </xdr:from>
    <xdr:to>
      <xdr:col>12</xdr:col>
      <xdr:colOff>139700</xdr:colOff>
      <xdr:row>24</xdr:row>
      <xdr:rowOff>139700</xdr:rowOff>
    </xdr:to>
    <xdr:sp macro="" textlink="">
      <xdr:nvSpPr>
        <xdr:cNvPr id="2749" name="Rectangle 22">
          <a:extLst>
            <a:ext uri="{FF2B5EF4-FFF2-40B4-BE49-F238E27FC236}">
              <a16:creationId xmlns:a16="http://schemas.microsoft.com/office/drawing/2014/main" id="{03C6BC4A-D354-4C6F-8717-75DB03EDF559}"/>
            </a:ext>
          </a:extLst>
        </xdr:cNvPr>
        <xdr:cNvSpPr>
          <a:spLocks noChangeArrowheads="1"/>
        </xdr:cNvSpPr>
      </xdr:nvSpPr>
      <xdr:spPr bwMode="auto">
        <a:xfrm>
          <a:off x="9201150" y="4445000"/>
          <a:ext cx="2108200" cy="654050"/>
        </a:xfrm>
        <a:prstGeom prst="rect">
          <a:avLst/>
        </a:prstGeom>
        <a:noFill/>
        <a:ln w="19050">
          <a:solidFill>
            <a:srgbClr val="339966"/>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wsDr>
</file>

<file path=xl/drawings/drawing10.xml><?xml version="1.0" encoding="utf-8"?>
<xdr:wsDr xmlns:xdr="http://schemas.openxmlformats.org/drawingml/2006/spreadsheetDrawing" xmlns:a="http://schemas.openxmlformats.org/drawingml/2006/main">
  <xdr:twoCellAnchor>
    <xdr:from>
      <xdr:col>3</xdr:col>
      <xdr:colOff>323850</xdr:colOff>
      <xdr:row>35</xdr:row>
      <xdr:rowOff>12700</xdr:rowOff>
    </xdr:from>
    <xdr:to>
      <xdr:col>3</xdr:col>
      <xdr:colOff>323850</xdr:colOff>
      <xdr:row>37</xdr:row>
      <xdr:rowOff>12700</xdr:rowOff>
    </xdr:to>
    <xdr:sp macro="" textlink="">
      <xdr:nvSpPr>
        <xdr:cNvPr id="15642" name="Line 1">
          <a:extLst>
            <a:ext uri="{FF2B5EF4-FFF2-40B4-BE49-F238E27FC236}">
              <a16:creationId xmlns:a16="http://schemas.microsoft.com/office/drawing/2014/main" id="{C0F83D79-9E81-49FA-A2ED-1D888F0A0068}"/>
            </a:ext>
          </a:extLst>
        </xdr:cNvPr>
        <xdr:cNvSpPr>
          <a:spLocks noChangeShapeType="1"/>
        </xdr:cNvSpPr>
      </xdr:nvSpPr>
      <xdr:spPr bwMode="auto">
        <a:xfrm flipV="1">
          <a:off x="2266950" y="5715000"/>
          <a:ext cx="0" cy="3175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304800</xdr:colOff>
      <xdr:row>48</xdr:row>
      <xdr:rowOff>12700</xdr:rowOff>
    </xdr:from>
    <xdr:to>
      <xdr:col>3</xdr:col>
      <xdr:colOff>311150</xdr:colOff>
      <xdr:row>50</xdr:row>
      <xdr:rowOff>0</xdr:rowOff>
    </xdr:to>
    <xdr:sp macro="" textlink="">
      <xdr:nvSpPr>
        <xdr:cNvPr id="15643" name="Line 2">
          <a:extLst>
            <a:ext uri="{FF2B5EF4-FFF2-40B4-BE49-F238E27FC236}">
              <a16:creationId xmlns:a16="http://schemas.microsoft.com/office/drawing/2014/main" id="{764CB3FC-3C10-4603-9A44-7901056E16C1}"/>
            </a:ext>
          </a:extLst>
        </xdr:cNvPr>
        <xdr:cNvSpPr>
          <a:spLocks noChangeShapeType="1"/>
        </xdr:cNvSpPr>
      </xdr:nvSpPr>
      <xdr:spPr bwMode="auto">
        <a:xfrm flipV="1">
          <a:off x="2247900" y="7791450"/>
          <a:ext cx="6350" cy="3048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381000</xdr:colOff>
      <xdr:row>20</xdr:row>
      <xdr:rowOff>95250</xdr:rowOff>
    </xdr:from>
    <xdr:to>
      <xdr:col>4</xdr:col>
      <xdr:colOff>603250</xdr:colOff>
      <xdr:row>20</xdr:row>
      <xdr:rowOff>95250</xdr:rowOff>
    </xdr:to>
    <xdr:cxnSp macro="">
      <xdr:nvCxnSpPr>
        <xdr:cNvPr id="15644" name="Straight Arrow Connector 4">
          <a:extLst>
            <a:ext uri="{FF2B5EF4-FFF2-40B4-BE49-F238E27FC236}">
              <a16:creationId xmlns:a16="http://schemas.microsoft.com/office/drawing/2014/main" id="{751BAD4D-6A5E-4767-A3F9-C5D93B76DDF5}"/>
            </a:ext>
          </a:extLst>
        </xdr:cNvPr>
        <xdr:cNvCxnSpPr>
          <a:cxnSpLocks noChangeShapeType="1"/>
        </xdr:cNvCxnSpPr>
      </xdr:nvCxnSpPr>
      <xdr:spPr bwMode="auto">
        <a:xfrm rot="10800000">
          <a:off x="2940050" y="3371850"/>
          <a:ext cx="222250" cy="0"/>
        </a:xfrm>
        <a:prstGeom prst="straightConnector1">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cxnSp>
    <xdr:clientData/>
  </xdr:twoCellAnchor>
</xdr:wsDr>
</file>

<file path=xl/drawings/drawing11.xml><?xml version="1.0" encoding="utf-8"?>
<xdr:wsDr xmlns:xdr="http://schemas.openxmlformats.org/drawingml/2006/spreadsheetDrawing" xmlns:a="http://schemas.openxmlformats.org/drawingml/2006/main">
  <xdr:twoCellAnchor>
    <xdr:from>
      <xdr:col>4</xdr:col>
      <xdr:colOff>825500</xdr:colOff>
      <xdr:row>1</xdr:row>
      <xdr:rowOff>50800</xdr:rowOff>
    </xdr:from>
    <xdr:to>
      <xdr:col>4</xdr:col>
      <xdr:colOff>1047750</xdr:colOff>
      <xdr:row>1</xdr:row>
      <xdr:rowOff>50800</xdr:rowOff>
    </xdr:to>
    <xdr:sp macro="" textlink="">
      <xdr:nvSpPr>
        <xdr:cNvPr id="546909" name="Line 1">
          <a:extLst>
            <a:ext uri="{FF2B5EF4-FFF2-40B4-BE49-F238E27FC236}">
              <a16:creationId xmlns:a16="http://schemas.microsoft.com/office/drawing/2014/main" id="{611EF5C1-9223-41C2-A4C6-407095ED224A}"/>
            </a:ext>
          </a:extLst>
        </xdr:cNvPr>
        <xdr:cNvSpPr>
          <a:spLocks noChangeShapeType="1"/>
        </xdr:cNvSpPr>
      </xdr:nvSpPr>
      <xdr:spPr bwMode="auto">
        <a:xfrm flipV="1">
          <a:off x="6096000" y="279400"/>
          <a:ext cx="222250" cy="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1054100</xdr:colOff>
      <xdr:row>1</xdr:row>
      <xdr:rowOff>50800</xdr:rowOff>
    </xdr:from>
    <xdr:to>
      <xdr:col>4</xdr:col>
      <xdr:colOff>1054100</xdr:colOff>
      <xdr:row>1</xdr:row>
      <xdr:rowOff>152400</xdr:rowOff>
    </xdr:to>
    <xdr:sp macro="" textlink="">
      <xdr:nvSpPr>
        <xdr:cNvPr id="546910" name="Line 2">
          <a:extLst>
            <a:ext uri="{FF2B5EF4-FFF2-40B4-BE49-F238E27FC236}">
              <a16:creationId xmlns:a16="http://schemas.microsoft.com/office/drawing/2014/main" id="{827CA306-9111-4B84-BEB3-9A64659235EA}"/>
            </a:ext>
          </a:extLst>
        </xdr:cNvPr>
        <xdr:cNvSpPr>
          <a:spLocks noChangeShapeType="1"/>
        </xdr:cNvSpPr>
      </xdr:nvSpPr>
      <xdr:spPr bwMode="auto">
        <a:xfrm>
          <a:off x="6324600" y="279400"/>
          <a:ext cx="0" cy="1016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863600</xdr:colOff>
      <xdr:row>1</xdr:row>
      <xdr:rowOff>63500</xdr:rowOff>
    </xdr:from>
    <xdr:to>
      <xdr:col>5</xdr:col>
      <xdr:colOff>1060450</xdr:colOff>
      <xdr:row>1</xdr:row>
      <xdr:rowOff>63500</xdr:rowOff>
    </xdr:to>
    <xdr:sp macro="" textlink="">
      <xdr:nvSpPr>
        <xdr:cNvPr id="546911" name="Line 3">
          <a:extLst>
            <a:ext uri="{FF2B5EF4-FFF2-40B4-BE49-F238E27FC236}">
              <a16:creationId xmlns:a16="http://schemas.microsoft.com/office/drawing/2014/main" id="{C48963C2-E4C7-43F4-9FF8-D5CE2E71CD83}"/>
            </a:ext>
          </a:extLst>
        </xdr:cNvPr>
        <xdr:cNvSpPr>
          <a:spLocks noChangeShapeType="1"/>
        </xdr:cNvSpPr>
      </xdr:nvSpPr>
      <xdr:spPr bwMode="auto">
        <a:xfrm>
          <a:off x="7575550" y="292100"/>
          <a:ext cx="1968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1073150</xdr:colOff>
      <xdr:row>1</xdr:row>
      <xdr:rowOff>63500</xdr:rowOff>
    </xdr:from>
    <xdr:to>
      <xdr:col>5</xdr:col>
      <xdr:colOff>1073150</xdr:colOff>
      <xdr:row>1</xdr:row>
      <xdr:rowOff>152400</xdr:rowOff>
    </xdr:to>
    <xdr:sp macro="" textlink="">
      <xdr:nvSpPr>
        <xdr:cNvPr id="546912" name="Line 4">
          <a:extLst>
            <a:ext uri="{FF2B5EF4-FFF2-40B4-BE49-F238E27FC236}">
              <a16:creationId xmlns:a16="http://schemas.microsoft.com/office/drawing/2014/main" id="{A0C83770-92C3-4266-AB48-FED120334C21}"/>
            </a:ext>
          </a:extLst>
        </xdr:cNvPr>
        <xdr:cNvSpPr>
          <a:spLocks noChangeShapeType="1"/>
        </xdr:cNvSpPr>
      </xdr:nvSpPr>
      <xdr:spPr bwMode="auto">
        <a:xfrm>
          <a:off x="7785100" y="292100"/>
          <a:ext cx="0" cy="889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463550</xdr:colOff>
      <xdr:row>1</xdr:row>
      <xdr:rowOff>63500</xdr:rowOff>
    </xdr:from>
    <xdr:to>
      <xdr:col>7</xdr:col>
      <xdr:colOff>292100</xdr:colOff>
      <xdr:row>1</xdr:row>
      <xdr:rowOff>63500</xdr:rowOff>
    </xdr:to>
    <xdr:sp macro="" textlink="">
      <xdr:nvSpPr>
        <xdr:cNvPr id="546913" name="Line 5">
          <a:extLst>
            <a:ext uri="{FF2B5EF4-FFF2-40B4-BE49-F238E27FC236}">
              <a16:creationId xmlns:a16="http://schemas.microsoft.com/office/drawing/2014/main" id="{C9EF7B6C-EFB2-46DA-B20D-2DA5D4AF55EC}"/>
            </a:ext>
          </a:extLst>
        </xdr:cNvPr>
        <xdr:cNvSpPr>
          <a:spLocks noChangeShapeType="1"/>
        </xdr:cNvSpPr>
      </xdr:nvSpPr>
      <xdr:spPr bwMode="auto">
        <a:xfrm>
          <a:off x="8839200" y="292100"/>
          <a:ext cx="4445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292100</xdr:colOff>
      <xdr:row>1</xdr:row>
      <xdr:rowOff>63500</xdr:rowOff>
    </xdr:from>
    <xdr:to>
      <xdr:col>7</xdr:col>
      <xdr:colOff>304800</xdr:colOff>
      <xdr:row>2</xdr:row>
      <xdr:rowOff>0</xdr:rowOff>
    </xdr:to>
    <xdr:sp macro="" textlink="">
      <xdr:nvSpPr>
        <xdr:cNvPr id="546914" name="Line 6">
          <a:extLst>
            <a:ext uri="{FF2B5EF4-FFF2-40B4-BE49-F238E27FC236}">
              <a16:creationId xmlns:a16="http://schemas.microsoft.com/office/drawing/2014/main" id="{4A29A783-A60F-473A-8132-A30026E8680C}"/>
            </a:ext>
          </a:extLst>
        </xdr:cNvPr>
        <xdr:cNvSpPr>
          <a:spLocks noChangeShapeType="1"/>
        </xdr:cNvSpPr>
      </xdr:nvSpPr>
      <xdr:spPr bwMode="auto">
        <a:xfrm>
          <a:off x="9283700" y="292100"/>
          <a:ext cx="12700" cy="1016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825500</xdr:colOff>
      <xdr:row>29</xdr:row>
      <xdr:rowOff>50800</xdr:rowOff>
    </xdr:from>
    <xdr:to>
      <xdr:col>4</xdr:col>
      <xdr:colOff>1047750</xdr:colOff>
      <xdr:row>29</xdr:row>
      <xdr:rowOff>50800</xdr:rowOff>
    </xdr:to>
    <xdr:sp macro="" textlink="">
      <xdr:nvSpPr>
        <xdr:cNvPr id="546915" name="Line 7">
          <a:extLst>
            <a:ext uri="{FF2B5EF4-FFF2-40B4-BE49-F238E27FC236}">
              <a16:creationId xmlns:a16="http://schemas.microsoft.com/office/drawing/2014/main" id="{F22DC0DB-F8C0-4523-ACF4-15BDD41A646E}"/>
            </a:ext>
          </a:extLst>
        </xdr:cNvPr>
        <xdr:cNvSpPr>
          <a:spLocks noChangeShapeType="1"/>
        </xdr:cNvSpPr>
      </xdr:nvSpPr>
      <xdr:spPr bwMode="auto">
        <a:xfrm flipV="1">
          <a:off x="6096000" y="5429250"/>
          <a:ext cx="222250" cy="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1054100</xdr:colOff>
      <xdr:row>29</xdr:row>
      <xdr:rowOff>50800</xdr:rowOff>
    </xdr:from>
    <xdr:to>
      <xdr:col>4</xdr:col>
      <xdr:colOff>1054100</xdr:colOff>
      <xdr:row>29</xdr:row>
      <xdr:rowOff>152400</xdr:rowOff>
    </xdr:to>
    <xdr:sp macro="" textlink="">
      <xdr:nvSpPr>
        <xdr:cNvPr id="546916" name="Line 8">
          <a:extLst>
            <a:ext uri="{FF2B5EF4-FFF2-40B4-BE49-F238E27FC236}">
              <a16:creationId xmlns:a16="http://schemas.microsoft.com/office/drawing/2014/main" id="{6DF11EB5-77EC-4843-B9A7-4BE65D071BC7}"/>
            </a:ext>
          </a:extLst>
        </xdr:cNvPr>
        <xdr:cNvSpPr>
          <a:spLocks noChangeShapeType="1"/>
        </xdr:cNvSpPr>
      </xdr:nvSpPr>
      <xdr:spPr bwMode="auto">
        <a:xfrm>
          <a:off x="6324600" y="5429250"/>
          <a:ext cx="0" cy="1016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863600</xdr:colOff>
      <xdr:row>29</xdr:row>
      <xdr:rowOff>63500</xdr:rowOff>
    </xdr:from>
    <xdr:to>
      <xdr:col>5</xdr:col>
      <xdr:colOff>1060450</xdr:colOff>
      <xdr:row>29</xdr:row>
      <xdr:rowOff>63500</xdr:rowOff>
    </xdr:to>
    <xdr:sp macro="" textlink="">
      <xdr:nvSpPr>
        <xdr:cNvPr id="546917" name="Line 9">
          <a:extLst>
            <a:ext uri="{FF2B5EF4-FFF2-40B4-BE49-F238E27FC236}">
              <a16:creationId xmlns:a16="http://schemas.microsoft.com/office/drawing/2014/main" id="{2D6D2843-FB86-462F-9CEC-A49DEE6FB753}"/>
            </a:ext>
          </a:extLst>
        </xdr:cNvPr>
        <xdr:cNvSpPr>
          <a:spLocks noChangeShapeType="1"/>
        </xdr:cNvSpPr>
      </xdr:nvSpPr>
      <xdr:spPr bwMode="auto">
        <a:xfrm>
          <a:off x="7575550" y="5441950"/>
          <a:ext cx="1968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1073150</xdr:colOff>
      <xdr:row>29</xdr:row>
      <xdr:rowOff>63500</xdr:rowOff>
    </xdr:from>
    <xdr:to>
      <xdr:col>5</xdr:col>
      <xdr:colOff>1073150</xdr:colOff>
      <xdr:row>29</xdr:row>
      <xdr:rowOff>152400</xdr:rowOff>
    </xdr:to>
    <xdr:sp macro="" textlink="">
      <xdr:nvSpPr>
        <xdr:cNvPr id="546918" name="Line 10">
          <a:extLst>
            <a:ext uri="{FF2B5EF4-FFF2-40B4-BE49-F238E27FC236}">
              <a16:creationId xmlns:a16="http://schemas.microsoft.com/office/drawing/2014/main" id="{3F0A7363-4A44-4836-8ECA-9A48E2C78F35}"/>
            </a:ext>
          </a:extLst>
        </xdr:cNvPr>
        <xdr:cNvSpPr>
          <a:spLocks noChangeShapeType="1"/>
        </xdr:cNvSpPr>
      </xdr:nvSpPr>
      <xdr:spPr bwMode="auto">
        <a:xfrm>
          <a:off x="7785100" y="5441950"/>
          <a:ext cx="0" cy="889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463550</xdr:colOff>
      <xdr:row>29</xdr:row>
      <xdr:rowOff>63500</xdr:rowOff>
    </xdr:from>
    <xdr:to>
      <xdr:col>7</xdr:col>
      <xdr:colOff>292100</xdr:colOff>
      <xdr:row>29</xdr:row>
      <xdr:rowOff>63500</xdr:rowOff>
    </xdr:to>
    <xdr:sp macro="" textlink="">
      <xdr:nvSpPr>
        <xdr:cNvPr id="546919" name="Line 11">
          <a:extLst>
            <a:ext uri="{FF2B5EF4-FFF2-40B4-BE49-F238E27FC236}">
              <a16:creationId xmlns:a16="http://schemas.microsoft.com/office/drawing/2014/main" id="{55FF9224-0E5F-42E4-BB80-B5035FAA6F30}"/>
            </a:ext>
          </a:extLst>
        </xdr:cNvPr>
        <xdr:cNvSpPr>
          <a:spLocks noChangeShapeType="1"/>
        </xdr:cNvSpPr>
      </xdr:nvSpPr>
      <xdr:spPr bwMode="auto">
        <a:xfrm>
          <a:off x="8839200" y="5441950"/>
          <a:ext cx="4445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292100</xdr:colOff>
      <xdr:row>29</xdr:row>
      <xdr:rowOff>63500</xdr:rowOff>
    </xdr:from>
    <xdr:to>
      <xdr:col>7</xdr:col>
      <xdr:colOff>304800</xdr:colOff>
      <xdr:row>30</xdr:row>
      <xdr:rowOff>0</xdr:rowOff>
    </xdr:to>
    <xdr:sp macro="" textlink="">
      <xdr:nvSpPr>
        <xdr:cNvPr id="546920" name="Line 12">
          <a:extLst>
            <a:ext uri="{FF2B5EF4-FFF2-40B4-BE49-F238E27FC236}">
              <a16:creationId xmlns:a16="http://schemas.microsoft.com/office/drawing/2014/main" id="{128E9342-D8D4-4AC5-B84C-4505E8871BC6}"/>
            </a:ext>
          </a:extLst>
        </xdr:cNvPr>
        <xdr:cNvSpPr>
          <a:spLocks noChangeShapeType="1"/>
        </xdr:cNvSpPr>
      </xdr:nvSpPr>
      <xdr:spPr bwMode="auto">
        <a:xfrm>
          <a:off x="9283700" y="5441950"/>
          <a:ext cx="12700" cy="1016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2444750</xdr:colOff>
      <xdr:row>53</xdr:row>
      <xdr:rowOff>88900</xdr:rowOff>
    </xdr:from>
    <xdr:to>
      <xdr:col>4</xdr:col>
      <xdr:colOff>685800</xdr:colOff>
      <xdr:row>53</xdr:row>
      <xdr:rowOff>88900</xdr:rowOff>
    </xdr:to>
    <xdr:sp macro="" textlink="">
      <xdr:nvSpPr>
        <xdr:cNvPr id="546921" name="Line 13">
          <a:extLst>
            <a:ext uri="{FF2B5EF4-FFF2-40B4-BE49-F238E27FC236}">
              <a16:creationId xmlns:a16="http://schemas.microsoft.com/office/drawing/2014/main" id="{61DEBAAA-95EA-41F4-930A-F79BD8BD6EC9}"/>
            </a:ext>
          </a:extLst>
        </xdr:cNvPr>
        <xdr:cNvSpPr>
          <a:spLocks noChangeShapeType="1"/>
        </xdr:cNvSpPr>
      </xdr:nvSpPr>
      <xdr:spPr bwMode="auto">
        <a:xfrm>
          <a:off x="5118100" y="9950450"/>
          <a:ext cx="838200" cy="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698500</xdr:colOff>
      <xdr:row>53</xdr:row>
      <xdr:rowOff>88900</xdr:rowOff>
    </xdr:from>
    <xdr:to>
      <xdr:col>4</xdr:col>
      <xdr:colOff>698500</xdr:colOff>
      <xdr:row>54</xdr:row>
      <xdr:rowOff>12700</xdr:rowOff>
    </xdr:to>
    <xdr:sp macro="" textlink="">
      <xdr:nvSpPr>
        <xdr:cNvPr id="546922" name="Line 14">
          <a:extLst>
            <a:ext uri="{FF2B5EF4-FFF2-40B4-BE49-F238E27FC236}">
              <a16:creationId xmlns:a16="http://schemas.microsoft.com/office/drawing/2014/main" id="{FFB177B8-9FC1-4058-89D9-94F4E954F543}"/>
            </a:ext>
          </a:extLst>
        </xdr:cNvPr>
        <xdr:cNvSpPr>
          <a:spLocks noChangeShapeType="1"/>
        </xdr:cNvSpPr>
      </xdr:nvSpPr>
      <xdr:spPr bwMode="auto">
        <a:xfrm>
          <a:off x="5969000" y="9950450"/>
          <a:ext cx="0" cy="889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2444750</xdr:colOff>
      <xdr:row>24</xdr:row>
      <xdr:rowOff>88900</xdr:rowOff>
    </xdr:from>
    <xdr:to>
      <xdr:col>4</xdr:col>
      <xdr:colOff>685800</xdr:colOff>
      <xdr:row>24</xdr:row>
      <xdr:rowOff>88900</xdr:rowOff>
    </xdr:to>
    <xdr:sp macro="" textlink="">
      <xdr:nvSpPr>
        <xdr:cNvPr id="546923" name="Line 15">
          <a:extLst>
            <a:ext uri="{FF2B5EF4-FFF2-40B4-BE49-F238E27FC236}">
              <a16:creationId xmlns:a16="http://schemas.microsoft.com/office/drawing/2014/main" id="{D2885547-7610-4A73-9DD7-9EF487A94225}"/>
            </a:ext>
          </a:extLst>
        </xdr:cNvPr>
        <xdr:cNvSpPr>
          <a:spLocks noChangeShapeType="1"/>
        </xdr:cNvSpPr>
      </xdr:nvSpPr>
      <xdr:spPr bwMode="auto">
        <a:xfrm>
          <a:off x="5118100" y="4603750"/>
          <a:ext cx="838200" cy="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698500</xdr:colOff>
      <xdr:row>24</xdr:row>
      <xdr:rowOff>88900</xdr:rowOff>
    </xdr:from>
    <xdr:to>
      <xdr:col>4</xdr:col>
      <xdr:colOff>698500</xdr:colOff>
      <xdr:row>25</xdr:row>
      <xdr:rowOff>0</xdr:rowOff>
    </xdr:to>
    <xdr:sp macro="" textlink="">
      <xdr:nvSpPr>
        <xdr:cNvPr id="546924" name="Line 16">
          <a:extLst>
            <a:ext uri="{FF2B5EF4-FFF2-40B4-BE49-F238E27FC236}">
              <a16:creationId xmlns:a16="http://schemas.microsoft.com/office/drawing/2014/main" id="{BE68F9CD-813B-4AE1-8A3D-A406B486A941}"/>
            </a:ext>
          </a:extLst>
        </xdr:cNvPr>
        <xdr:cNvSpPr>
          <a:spLocks noChangeShapeType="1"/>
        </xdr:cNvSpPr>
      </xdr:nvSpPr>
      <xdr:spPr bwMode="auto">
        <a:xfrm>
          <a:off x="5969000" y="4603750"/>
          <a:ext cx="0" cy="762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1130300</xdr:colOff>
      <xdr:row>26</xdr:row>
      <xdr:rowOff>152400</xdr:rowOff>
    </xdr:from>
    <xdr:to>
      <xdr:col>2</xdr:col>
      <xdr:colOff>1130300</xdr:colOff>
      <xdr:row>28</xdr:row>
      <xdr:rowOff>0</xdr:rowOff>
    </xdr:to>
    <xdr:sp macro="" textlink="">
      <xdr:nvSpPr>
        <xdr:cNvPr id="546925" name="Line 17">
          <a:extLst>
            <a:ext uri="{FF2B5EF4-FFF2-40B4-BE49-F238E27FC236}">
              <a16:creationId xmlns:a16="http://schemas.microsoft.com/office/drawing/2014/main" id="{EF46C637-75AB-47FB-B162-CC0449B72A4C}"/>
            </a:ext>
          </a:extLst>
        </xdr:cNvPr>
        <xdr:cNvSpPr>
          <a:spLocks noChangeShapeType="1"/>
        </xdr:cNvSpPr>
      </xdr:nvSpPr>
      <xdr:spPr bwMode="auto">
        <a:xfrm flipV="1">
          <a:off x="2362200" y="5035550"/>
          <a:ext cx="0" cy="18415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1200150</xdr:colOff>
      <xdr:row>26</xdr:row>
      <xdr:rowOff>152400</xdr:rowOff>
    </xdr:from>
    <xdr:to>
      <xdr:col>4</xdr:col>
      <xdr:colOff>1200150</xdr:colOff>
      <xdr:row>28</xdr:row>
      <xdr:rowOff>0</xdr:rowOff>
    </xdr:to>
    <xdr:sp macro="" textlink="">
      <xdr:nvSpPr>
        <xdr:cNvPr id="546926" name="Line 18">
          <a:extLst>
            <a:ext uri="{FF2B5EF4-FFF2-40B4-BE49-F238E27FC236}">
              <a16:creationId xmlns:a16="http://schemas.microsoft.com/office/drawing/2014/main" id="{F09F6AF5-A25A-4D62-866C-2018077E42D3}"/>
            </a:ext>
          </a:extLst>
        </xdr:cNvPr>
        <xdr:cNvSpPr>
          <a:spLocks noChangeShapeType="1"/>
        </xdr:cNvSpPr>
      </xdr:nvSpPr>
      <xdr:spPr bwMode="auto">
        <a:xfrm>
          <a:off x="6470650" y="5035550"/>
          <a:ext cx="0" cy="18415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editAs="oneCell">
    <xdr:from>
      <xdr:col>0</xdr:col>
      <xdr:colOff>0</xdr:colOff>
      <xdr:row>57</xdr:row>
      <xdr:rowOff>146050</xdr:rowOff>
    </xdr:from>
    <xdr:to>
      <xdr:col>5</xdr:col>
      <xdr:colOff>1338580</xdr:colOff>
      <xdr:row>91</xdr:row>
      <xdr:rowOff>109220</xdr:rowOff>
    </xdr:to>
    <xdr:pic>
      <xdr:nvPicPr>
        <xdr:cNvPr id="546927" name="Picture 24" descr="SAVE0051">
          <a:extLst>
            <a:ext uri="{FF2B5EF4-FFF2-40B4-BE49-F238E27FC236}">
              <a16:creationId xmlns:a16="http://schemas.microsoft.com/office/drawing/2014/main" id="{B89800B8-97DC-4A10-BFBB-83FD5EA35D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0693400"/>
          <a:ext cx="8051800" cy="5359400"/>
        </a:xfrm>
        <a:prstGeom prst="rect">
          <a:avLst/>
        </a:prstGeom>
        <a:noFill/>
        <a:ln w="3175">
          <a:solidFill>
            <a:srgbClr val="FFFFFF"/>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twoCellAnchor>
    <xdr:from>
      <xdr:col>2</xdr:col>
      <xdr:colOff>69850</xdr:colOff>
      <xdr:row>60</xdr:row>
      <xdr:rowOff>63500</xdr:rowOff>
    </xdr:from>
    <xdr:to>
      <xdr:col>5</xdr:col>
      <xdr:colOff>711200</xdr:colOff>
      <xdr:row>89</xdr:row>
      <xdr:rowOff>63500</xdr:rowOff>
    </xdr:to>
    <xdr:sp macro="" textlink="">
      <xdr:nvSpPr>
        <xdr:cNvPr id="546928" name="Rectangle 25">
          <a:extLst>
            <a:ext uri="{FF2B5EF4-FFF2-40B4-BE49-F238E27FC236}">
              <a16:creationId xmlns:a16="http://schemas.microsoft.com/office/drawing/2014/main" id="{D8719E35-1662-49CE-85AD-D153AED62AEF}"/>
            </a:ext>
          </a:extLst>
        </xdr:cNvPr>
        <xdr:cNvSpPr>
          <a:spLocks noChangeArrowheads="1"/>
        </xdr:cNvSpPr>
      </xdr:nvSpPr>
      <xdr:spPr bwMode="auto">
        <a:xfrm>
          <a:off x="1301750" y="11087100"/>
          <a:ext cx="6121400" cy="4603750"/>
        </a:xfrm>
        <a:prstGeom prst="rect">
          <a:avLst/>
        </a:prstGeom>
        <a:noFill/>
        <a:ln w="3810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editAs="oneCell">
    <xdr:from>
      <xdr:col>3</xdr:col>
      <xdr:colOff>1676400</xdr:colOff>
      <xdr:row>93</xdr:row>
      <xdr:rowOff>0</xdr:rowOff>
    </xdr:from>
    <xdr:to>
      <xdr:col>3</xdr:col>
      <xdr:colOff>1757680</xdr:colOff>
      <xdr:row>94</xdr:row>
      <xdr:rowOff>38100</xdr:rowOff>
    </xdr:to>
    <xdr:sp macro="" textlink="">
      <xdr:nvSpPr>
        <xdr:cNvPr id="546929" name="Text Box 26">
          <a:extLst>
            <a:ext uri="{FF2B5EF4-FFF2-40B4-BE49-F238E27FC236}">
              <a16:creationId xmlns:a16="http://schemas.microsoft.com/office/drawing/2014/main" id="{CB5AE17C-1476-4DE7-A57A-F440A9A0E998}"/>
            </a:ext>
          </a:extLst>
        </xdr:cNvPr>
        <xdr:cNvSpPr txBox="1">
          <a:spLocks noChangeArrowheads="1"/>
        </xdr:cNvSpPr>
      </xdr:nvSpPr>
      <xdr:spPr bwMode="auto">
        <a:xfrm>
          <a:off x="4349750" y="16262350"/>
          <a:ext cx="82550" cy="196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3</xdr:col>
      <xdr:colOff>1238250</xdr:colOff>
      <xdr:row>90</xdr:row>
      <xdr:rowOff>88900</xdr:rowOff>
    </xdr:from>
    <xdr:ext cx="726033" cy="243143"/>
    <xdr:sp macro="" textlink="">
      <xdr:nvSpPr>
        <xdr:cNvPr id="5147" name="Text Box 27">
          <a:extLst>
            <a:ext uri="{FF2B5EF4-FFF2-40B4-BE49-F238E27FC236}">
              <a16:creationId xmlns:a16="http://schemas.microsoft.com/office/drawing/2014/main" id="{695CD6D5-32EF-4150-9E9E-75C4E4DCAF2D}"/>
            </a:ext>
          </a:extLst>
        </xdr:cNvPr>
        <xdr:cNvSpPr txBox="1">
          <a:spLocks noChangeArrowheads="1"/>
        </xdr:cNvSpPr>
      </xdr:nvSpPr>
      <xdr:spPr bwMode="auto">
        <a:xfrm>
          <a:off x="4275667" y="15576550"/>
          <a:ext cx="726033" cy="243143"/>
        </a:xfrm>
        <a:prstGeom prst="rect">
          <a:avLst/>
        </a:prstGeom>
        <a:noFill/>
        <a:ln w="9525">
          <a:noFill/>
          <a:miter lim="800000"/>
          <a:headEnd/>
          <a:tailEnd/>
        </a:ln>
      </xdr:spPr>
      <xdr:txBody>
        <a:bodyPr wrap="none" lIns="27432" tIns="27432" rIns="0" bIns="0" anchor="t" upright="1">
          <a:spAutoFit/>
        </a:bodyPr>
        <a:lstStyle/>
        <a:p>
          <a:pPr algn="l" rtl="1">
            <a:defRPr sz="1000"/>
          </a:pPr>
          <a:r>
            <a:rPr lang="en-US" sz="1400" b="1" i="0" strike="noStrike">
              <a:solidFill>
                <a:srgbClr val="000000"/>
              </a:solidFill>
              <a:latin typeface="Arial"/>
              <a:cs typeface="Arial"/>
            </a:rPr>
            <a:t>Figure 1</a:t>
          </a:r>
        </a:p>
      </xdr:txBody>
    </xdr:sp>
    <xdr:clientData/>
  </xdr:oneCellAnchor>
</xdr:wsDr>
</file>

<file path=xl/drawings/drawing12.xml><?xml version="1.0" encoding="utf-8"?>
<xdr:wsDr xmlns:xdr="http://schemas.openxmlformats.org/drawingml/2006/spreadsheetDrawing" xmlns:a="http://schemas.openxmlformats.org/drawingml/2006/main">
  <xdr:twoCellAnchor>
    <xdr:from>
      <xdr:col>3</xdr:col>
      <xdr:colOff>0</xdr:colOff>
      <xdr:row>46</xdr:row>
      <xdr:rowOff>82550</xdr:rowOff>
    </xdr:from>
    <xdr:to>
      <xdr:col>3</xdr:col>
      <xdr:colOff>1250950</xdr:colOff>
      <xdr:row>46</xdr:row>
      <xdr:rowOff>82550</xdr:rowOff>
    </xdr:to>
    <xdr:sp macro="" textlink="">
      <xdr:nvSpPr>
        <xdr:cNvPr id="4205" name="Line 6">
          <a:extLst>
            <a:ext uri="{FF2B5EF4-FFF2-40B4-BE49-F238E27FC236}">
              <a16:creationId xmlns:a16="http://schemas.microsoft.com/office/drawing/2014/main" id="{4691DC80-34AC-40FB-B16F-01FFE3587063}"/>
            </a:ext>
          </a:extLst>
        </xdr:cNvPr>
        <xdr:cNvSpPr>
          <a:spLocks noChangeShapeType="1"/>
        </xdr:cNvSpPr>
      </xdr:nvSpPr>
      <xdr:spPr bwMode="auto">
        <a:xfrm flipH="1">
          <a:off x="4552950" y="7607300"/>
          <a:ext cx="12509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drawings/drawing13.xml><?xml version="1.0" encoding="utf-8"?>
<xdr:wsDr xmlns:xdr="http://schemas.openxmlformats.org/drawingml/2006/spreadsheetDrawing" xmlns:a="http://schemas.openxmlformats.org/drawingml/2006/main">
  <xdr:twoCellAnchor editAs="oneCell">
    <xdr:from>
      <xdr:col>1</xdr:col>
      <xdr:colOff>1003300</xdr:colOff>
      <xdr:row>1</xdr:row>
      <xdr:rowOff>0</xdr:rowOff>
    </xdr:from>
    <xdr:to>
      <xdr:col>2</xdr:col>
      <xdr:colOff>25400</xdr:colOff>
      <xdr:row>1</xdr:row>
      <xdr:rowOff>196850</xdr:rowOff>
    </xdr:to>
    <xdr:sp macro="" textlink="">
      <xdr:nvSpPr>
        <xdr:cNvPr id="16492" name="Text Box 7">
          <a:extLst>
            <a:ext uri="{FF2B5EF4-FFF2-40B4-BE49-F238E27FC236}">
              <a16:creationId xmlns:a16="http://schemas.microsoft.com/office/drawing/2014/main" id="{52047E98-5D7B-4BC0-BFAB-806764080D81}"/>
            </a:ext>
          </a:extLst>
        </xdr:cNvPr>
        <xdr:cNvSpPr txBox="1">
          <a:spLocks noChangeArrowheads="1"/>
        </xdr:cNvSpPr>
      </xdr:nvSpPr>
      <xdr:spPr bwMode="auto">
        <a:xfrm>
          <a:off x="3797300" y="228600"/>
          <a:ext cx="82550" cy="196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wsDr>
</file>

<file path=xl/drawings/drawing14.xml><?xml version="1.0" encoding="utf-8"?>
<xdr:wsDr xmlns:xdr="http://schemas.openxmlformats.org/drawingml/2006/spreadsheetDrawing" xmlns:a="http://schemas.openxmlformats.org/drawingml/2006/main">
  <xdr:twoCellAnchor>
    <xdr:from>
      <xdr:col>2</xdr:col>
      <xdr:colOff>641350</xdr:colOff>
      <xdr:row>76</xdr:row>
      <xdr:rowOff>82550</xdr:rowOff>
    </xdr:from>
    <xdr:to>
      <xdr:col>2</xdr:col>
      <xdr:colOff>641350</xdr:colOff>
      <xdr:row>107</xdr:row>
      <xdr:rowOff>146050</xdr:rowOff>
    </xdr:to>
    <xdr:sp macro="" textlink="">
      <xdr:nvSpPr>
        <xdr:cNvPr id="2" name="Line 20">
          <a:extLst>
            <a:ext uri="{FF2B5EF4-FFF2-40B4-BE49-F238E27FC236}">
              <a16:creationId xmlns:a16="http://schemas.microsoft.com/office/drawing/2014/main" id="{040D8072-BF23-4EB7-BE6E-D6DA195693AB}"/>
            </a:ext>
          </a:extLst>
        </xdr:cNvPr>
        <xdr:cNvSpPr>
          <a:spLocks noChangeShapeType="1"/>
        </xdr:cNvSpPr>
      </xdr:nvSpPr>
      <xdr:spPr bwMode="auto">
        <a:xfrm>
          <a:off x="2133600" y="12566650"/>
          <a:ext cx="0" cy="50927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641350</xdr:colOff>
      <xdr:row>10</xdr:row>
      <xdr:rowOff>0</xdr:rowOff>
    </xdr:from>
    <xdr:to>
      <xdr:col>2</xdr:col>
      <xdr:colOff>641350</xdr:colOff>
      <xdr:row>65</xdr:row>
      <xdr:rowOff>2540</xdr:rowOff>
    </xdr:to>
    <xdr:sp macro="" textlink="">
      <xdr:nvSpPr>
        <xdr:cNvPr id="3" name="Line 10">
          <a:extLst>
            <a:ext uri="{FF2B5EF4-FFF2-40B4-BE49-F238E27FC236}">
              <a16:creationId xmlns:a16="http://schemas.microsoft.com/office/drawing/2014/main" id="{CB641149-C204-4DCE-BC42-D8E8A9EC1EBA}"/>
            </a:ext>
          </a:extLst>
        </xdr:cNvPr>
        <xdr:cNvSpPr>
          <a:spLocks noChangeShapeType="1"/>
        </xdr:cNvSpPr>
      </xdr:nvSpPr>
      <xdr:spPr bwMode="auto">
        <a:xfrm flipH="1" flipV="1">
          <a:off x="2133600" y="1752600"/>
          <a:ext cx="0" cy="893699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571500</xdr:colOff>
      <xdr:row>11</xdr:row>
      <xdr:rowOff>95250</xdr:rowOff>
    </xdr:from>
    <xdr:to>
      <xdr:col>3</xdr:col>
      <xdr:colOff>685800</xdr:colOff>
      <xdr:row>14</xdr:row>
      <xdr:rowOff>107950</xdr:rowOff>
    </xdr:to>
    <xdr:sp macro="" textlink="">
      <xdr:nvSpPr>
        <xdr:cNvPr id="4" name="Rectangle 1">
          <a:extLst>
            <a:ext uri="{FF2B5EF4-FFF2-40B4-BE49-F238E27FC236}">
              <a16:creationId xmlns:a16="http://schemas.microsoft.com/office/drawing/2014/main" id="{45047909-B103-4E61-9890-1FB572D03C2E}"/>
            </a:ext>
          </a:extLst>
        </xdr:cNvPr>
        <xdr:cNvSpPr>
          <a:spLocks noChangeArrowheads="1"/>
        </xdr:cNvSpPr>
      </xdr:nvSpPr>
      <xdr:spPr bwMode="auto">
        <a:xfrm>
          <a:off x="1447800" y="2006600"/>
          <a:ext cx="1390650" cy="527050"/>
        </a:xfrm>
        <a:prstGeom prst="rect">
          <a:avLst/>
        </a:prstGeom>
        <a:solidFill>
          <a:srgbClr val="99CCFF"/>
        </a:solidFill>
        <a:ln w="19050">
          <a:solidFill>
            <a:srgbClr val="000000"/>
          </a:solidFill>
          <a:miter lim="800000"/>
          <a:headEnd/>
          <a:tailEnd/>
        </a:ln>
      </xdr:spPr>
      <xdr:txBody>
        <a:bodyPr anchor="ctr"/>
        <a:lstStyle/>
        <a:p>
          <a:pPr algn="ctr"/>
          <a:r>
            <a:rPr lang="en-US" sz="1000" b="1">
              <a:latin typeface="Arial" panose="020B0604020202020204" pitchFamily="34" charset="0"/>
              <a:cs typeface="Arial" panose="020B0604020202020204" pitchFamily="34" charset="0"/>
            </a:rPr>
            <a:t>Data FEC Decoder</a:t>
          </a:r>
        </a:p>
      </xdr:txBody>
    </xdr:sp>
    <xdr:clientData/>
  </xdr:twoCellAnchor>
  <xdr:twoCellAnchor>
    <xdr:from>
      <xdr:col>2</xdr:col>
      <xdr:colOff>0</xdr:colOff>
      <xdr:row>17</xdr:row>
      <xdr:rowOff>12700</xdr:rowOff>
    </xdr:from>
    <xdr:to>
      <xdr:col>3</xdr:col>
      <xdr:colOff>615950</xdr:colOff>
      <xdr:row>21</xdr:row>
      <xdr:rowOff>12700</xdr:rowOff>
    </xdr:to>
    <xdr:sp macro="" textlink="">
      <xdr:nvSpPr>
        <xdr:cNvPr id="5" name="Rectangle 2">
          <a:extLst>
            <a:ext uri="{FF2B5EF4-FFF2-40B4-BE49-F238E27FC236}">
              <a16:creationId xmlns:a16="http://schemas.microsoft.com/office/drawing/2014/main" id="{60021A85-1535-49D5-ADBD-16D7DC87E700}"/>
            </a:ext>
          </a:extLst>
        </xdr:cNvPr>
        <xdr:cNvSpPr>
          <a:spLocks noChangeArrowheads="1"/>
        </xdr:cNvSpPr>
      </xdr:nvSpPr>
      <xdr:spPr bwMode="auto">
        <a:xfrm>
          <a:off x="1492250" y="2927350"/>
          <a:ext cx="1276350" cy="635000"/>
        </a:xfrm>
        <a:prstGeom prst="rect">
          <a:avLst/>
        </a:prstGeom>
        <a:solidFill>
          <a:srgbClr val="99CCFF"/>
        </a:solidFill>
        <a:ln w="19050">
          <a:solidFill>
            <a:srgbClr val="000000"/>
          </a:solidFill>
          <a:miter lim="800000"/>
          <a:headEnd/>
          <a:tailEnd/>
        </a:ln>
      </xdr:spPr>
      <xdr:txBody>
        <a:bodyPr anchor="ctr"/>
        <a:lstStyle/>
        <a:p>
          <a:pPr algn="ctr"/>
          <a:r>
            <a:rPr lang="en-US" sz="1000" b="1">
              <a:latin typeface="Arial" panose="020B0604020202020204" pitchFamily="34" charset="0"/>
              <a:cs typeface="Arial" panose="020B0604020202020204" pitchFamily="34" charset="0"/>
            </a:rPr>
            <a:t>Data Demodulator</a:t>
          </a:r>
        </a:p>
      </xdr:txBody>
    </xdr:sp>
    <xdr:clientData/>
  </xdr:twoCellAnchor>
  <xdr:twoCellAnchor>
    <xdr:from>
      <xdr:col>2</xdr:col>
      <xdr:colOff>9525</xdr:colOff>
      <xdr:row>23</xdr:row>
      <xdr:rowOff>9525</xdr:rowOff>
    </xdr:from>
    <xdr:to>
      <xdr:col>3</xdr:col>
      <xdr:colOff>631878</xdr:colOff>
      <xdr:row>27</xdr:row>
      <xdr:rowOff>9525</xdr:rowOff>
    </xdr:to>
    <xdr:sp macro="" textlink="">
      <xdr:nvSpPr>
        <xdr:cNvPr id="6" name="Rectangle 3">
          <a:extLst>
            <a:ext uri="{FF2B5EF4-FFF2-40B4-BE49-F238E27FC236}">
              <a16:creationId xmlns:a16="http://schemas.microsoft.com/office/drawing/2014/main" id="{AB7AD156-6298-4658-B028-7993B895AE0B}"/>
            </a:ext>
          </a:extLst>
        </xdr:cNvPr>
        <xdr:cNvSpPr>
          <a:spLocks noChangeArrowheads="1"/>
        </xdr:cNvSpPr>
      </xdr:nvSpPr>
      <xdr:spPr bwMode="auto">
        <a:xfrm>
          <a:off x="1501775" y="3876675"/>
          <a:ext cx="1282753" cy="635000"/>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Data</a:t>
          </a:r>
          <a:r>
            <a:rPr lang="en-US" sz="1000" b="1" i="0" strike="noStrike" baseline="0">
              <a:solidFill>
                <a:srgbClr val="000000"/>
              </a:solidFill>
              <a:latin typeface="Arial"/>
              <a:cs typeface="Arial"/>
            </a:rPr>
            <a:t> Bandpass Filter</a:t>
          </a:r>
          <a:endParaRPr lang="en-US" sz="1000" b="1" i="0" strike="noStrike">
            <a:solidFill>
              <a:srgbClr val="000000"/>
            </a:solidFill>
            <a:latin typeface="Arial"/>
            <a:cs typeface="Arial"/>
          </a:endParaRPr>
        </a:p>
      </xdr:txBody>
    </xdr:sp>
    <xdr:clientData/>
  </xdr:twoCellAnchor>
  <xdr:twoCellAnchor>
    <xdr:from>
      <xdr:col>2</xdr:col>
      <xdr:colOff>130175</xdr:colOff>
      <xdr:row>43</xdr:row>
      <xdr:rowOff>76200</xdr:rowOff>
    </xdr:from>
    <xdr:to>
      <xdr:col>3</xdr:col>
      <xdr:colOff>492061</xdr:colOff>
      <xdr:row>48</xdr:row>
      <xdr:rowOff>63517</xdr:rowOff>
    </xdr:to>
    <xdr:sp macro="" textlink="">
      <xdr:nvSpPr>
        <xdr:cNvPr id="7" name="AutoShape 5">
          <a:extLst>
            <a:ext uri="{FF2B5EF4-FFF2-40B4-BE49-F238E27FC236}">
              <a16:creationId xmlns:a16="http://schemas.microsoft.com/office/drawing/2014/main" id="{44C06E76-61FF-42A3-9719-DD022836C0D3}"/>
            </a:ext>
          </a:extLst>
        </xdr:cNvPr>
        <xdr:cNvSpPr>
          <a:spLocks noChangeArrowheads="1"/>
        </xdr:cNvSpPr>
      </xdr:nvSpPr>
      <xdr:spPr bwMode="auto">
        <a:xfrm>
          <a:off x="1622425" y="7213600"/>
          <a:ext cx="1022286" cy="825517"/>
        </a:xfrm>
        <a:prstGeom prst="triangle">
          <a:avLst>
            <a:gd name="adj" fmla="val 50000"/>
          </a:avLst>
        </a:prstGeom>
        <a:solidFill>
          <a:srgbClr val="99CCFF"/>
        </a:solidFill>
        <a:ln w="19050">
          <a:solidFill>
            <a:srgbClr val="000000"/>
          </a:solidFill>
          <a:miter lim="800000"/>
          <a:headEnd/>
          <a:tailEnd/>
        </a:ln>
      </xdr:spPr>
      <xdr:txBody>
        <a:bodyPr vertOverflow="clip" wrap="square" lIns="27432" tIns="22860" rIns="27432" bIns="0" anchor="t" upright="1"/>
        <a:lstStyle/>
        <a:p>
          <a:pPr algn="ctr" rtl="1">
            <a:defRPr sz="1000"/>
          </a:pPr>
          <a:r>
            <a:rPr lang="en-US" sz="1000" b="1" i="0" strike="noStrike">
              <a:solidFill>
                <a:srgbClr val="000000"/>
              </a:solidFill>
              <a:latin typeface="Arial"/>
              <a:cs typeface="Arial"/>
            </a:rPr>
            <a:t>LNA</a:t>
          </a:r>
        </a:p>
      </xdr:txBody>
    </xdr:sp>
    <xdr:clientData/>
  </xdr:twoCellAnchor>
  <xdr:twoCellAnchor>
    <xdr:from>
      <xdr:col>2</xdr:col>
      <xdr:colOff>6350</xdr:colOff>
      <xdr:row>31</xdr:row>
      <xdr:rowOff>85725</xdr:rowOff>
    </xdr:from>
    <xdr:to>
      <xdr:col>3</xdr:col>
      <xdr:colOff>621617</xdr:colOff>
      <xdr:row>35</xdr:row>
      <xdr:rowOff>85725</xdr:rowOff>
    </xdr:to>
    <xdr:sp macro="" textlink="">
      <xdr:nvSpPr>
        <xdr:cNvPr id="8" name="Rectangle 6">
          <a:extLst>
            <a:ext uri="{FF2B5EF4-FFF2-40B4-BE49-F238E27FC236}">
              <a16:creationId xmlns:a16="http://schemas.microsoft.com/office/drawing/2014/main" id="{EC2EDF8D-E820-4AA1-A789-16CA17129E2F}"/>
            </a:ext>
          </a:extLst>
        </xdr:cNvPr>
        <xdr:cNvSpPr>
          <a:spLocks noChangeArrowheads="1"/>
        </xdr:cNvSpPr>
      </xdr:nvSpPr>
      <xdr:spPr bwMode="auto">
        <a:xfrm>
          <a:off x="1498600" y="5260975"/>
          <a:ext cx="1275667" cy="679450"/>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Receiver's</a:t>
          </a:r>
          <a:r>
            <a:rPr lang="en-US" sz="1000" b="1" i="0" strike="noStrike" baseline="0">
              <a:solidFill>
                <a:srgbClr val="000000"/>
              </a:solidFill>
              <a:latin typeface="Arial"/>
              <a:cs typeface="Arial"/>
            </a:rPr>
            <a:t> IF Downconvert</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&amp; Amp.</a:t>
          </a:r>
          <a:endParaRPr lang="en-US" sz="1000" b="1" i="0" strike="noStrike">
            <a:solidFill>
              <a:srgbClr val="000000"/>
            </a:solidFill>
            <a:latin typeface="Arial"/>
            <a:cs typeface="Arial"/>
          </a:endParaRPr>
        </a:p>
      </xdr:txBody>
    </xdr:sp>
    <xdr:clientData/>
  </xdr:twoCellAnchor>
  <xdr:twoCellAnchor>
    <xdr:from>
      <xdr:col>2</xdr:col>
      <xdr:colOff>184150</xdr:colOff>
      <xdr:row>60</xdr:row>
      <xdr:rowOff>82550</xdr:rowOff>
    </xdr:from>
    <xdr:to>
      <xdr:col>3</xdr:col>
      <xdr:colOff>438150</xdr:colOff>
      <xdr:row>65</xdr:row>
      <xdr:rowOff>13970</xdr:rowOff>
    </xdr:to>
    <xdr:sp macro="" textlink="">
      <xdr:nvSpPr>
        <xdr:cNvPr id="9" name="AutoShape 9">
          <a:extLst>
            <a:ext uri="{FF2B5EF4-FFF2-40B4-BE49-F238E27FC236}">
              <a16:creationId xmlns:a16="http://schemas.microsoft.com/office/drawing/2014/main" id="{B424E9DA-AE7D-4B89-A89E-CEC49996DABA}"/>
            </a:ext>
          </a:extLst>
        </xdr:cNvPr>
        <xdr:cNvSpPr>
          <a:spLocks noChangeArrowheads="1"/>
        </xdr:cNvSpPr>
      </xdr:nvSpPr>
      <xdr:spPr bwMode="auto">
        <a:xfrm>
          <a:off x="1676400" y="9969500"/>
          <a:ext cx="914400" cy="731520"/>
        </a:xfrm>
        <a:prstGeom prst="triangle">
          <a:avLst>
            <a:gd name="adj" fmla="val 50000"/>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xdr:col>
      <xdr:colOff>184150</xdr:colOff>
      <xdr:row>76</xdr:row>
      <xdr:rowOff>81280</xdr:rowOff>
    </xdr:from>
    <xdr:to>
      <xdr:col>3</xdr:col>
      <xdr:colOff>438150</xdr:colOff>
      <xdr:row>81</xdr:row>
      <xdr:rowOff>12700</xdr:rowOff>
    </xdr:to>
    <xdr:sp macro="" textlink="">
      <xdr:nvSpPr>
        <xdr:cNvPr id="10" name="AutoShape 19">
          <a:extLst>
            <a:ext uri="{FF2B5EF4-FFF2-40B4-BE49-F238E27FC236}">
              <a16:creationId xmlns:a16="http://schemas.microsoft.com/office/drawing/2014/main" id="{EBF8CD46-7947-4239-BDF8-2EEA30183300}"/>
            </a:ext>
          </a:extLst>
        </xdr:cNvPr>
        <xdr:cNvSpPr>
          <a:spLocks noChangeArrowheads="1"/>
        </xdr:cNvSpPr>
      </xdr:nvSpPr>
      <xdr:spPr bwMode="auto">
        <a:xfrm rot="10800000">
          <a:off x="1676400" y="12565380"/>
          <a:ext cx="914400" cy="731520"/>
        </a:xfrm>
        <a:prstGeom prst="triangle">
          <a:avLst>
            <a:gd name="adj" fmla="val 50000"/>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xdr:col>
      <xdr:colOff>136525</xdr:colOff>
      <xdr:row>92</xdr:row>
      <xdr:rowOff>92075</xdr:rowOff>
    </xdr:from>
    <xdr:to>
      <xdr:col>3</xdr:col>
      <xdr:colOff>498411</xdr:colOff>
      <xdr:row>97</xdr:row>
      <xdr:rowOff>88952</xdr:rowOff>
    </xdr:to>
    <xdr:sp macro="" textlink="">
      <xdr:nvSpPr>
        <xdr:cNvPr id="11" name="AutoShape 24">
          <a:extLst>
            <a:ext uri="{FF2B5EF4-FFF2-40B4-BE49-F238E27FC236}">
              <a16:creationId xmlns:a16="http://schemas.microsoft.com/office/drawing/2014/main" id="{077D6EBB-67E2-44E0-9C83-65E18E311321}"/>
            </a:ext>
          </a:extLst>
        </xdr:cNvPr>
        <xdr:cNvSpPr>
          <a:spLocks noChangeArrowheads="1"/>
        </xdr:cNvSpPr>
      </xdr:nvSpPr>
      <xdr:spPr bwMode="auto">
        <a:xfrm>
          <a:off x="1628775" y="15205075"/>
          <a:ext cx="1022286" cy="790627"/>
        </a:xfrm>
        <a:prstGeom prst="triangle">
          <a:avLst>
            <a:gd name="adj" fmla="val 50000"/>
          </a:avLst>
        </a:prstGeom>
        <a:solidFill>
          <a:srgbClr val="99CCFF"/>
        </a:solidFill>
        <a:ln w="19050">
          <a:solidFill>
            <a:srgbClr val="000000"/>
          </a:solidFill>
          <a:miter lim="800000"/>
          <a:headEnd/>
          <a:tailEnd/>
        </a:ln>
      </xdr:spPr>
      <xdr:txBody>
        <a:bodyPr vertOverflow="clip" wrap="square" lIns="27432" tIns="22860" rIns="27432" bIns="0" anchor="t" upright="1"/>
        <a:lstStyle/>
        <a:p>
          <a:pPr algn="ctr" rtl="1">
            <a:defRPr sz="1000"/>
          </a:pPr>
          <a:r>
            <a:rPr lang="en-US" sz="1000" b="1" i="0" strike="noStrike">
              <a:solidFill>
                <a:srgbClr val="000000"/>
              </a:solidFill>
              <a:latin typeface="Arial"/>
              <a:cs typeface="Arial"/>
            </a:rPr>
            <a:t>HPA</a:t>
          </a:r>
        </a:p>
      </xdr:txBody>
    </xdr:sp>
    <xdr:clientData/>
  </xdr:twoCellAnchor>
  <xdr:twoCellAnchor>
    <xdr:from>
      <xdr:col>1</xdr:col>
      <xdr:colOff>533400</xdr:colOff>
      <xdr:row>102</xdr:row>
      <xdr:rowOff>19050</xdr:rowOff>
    </xdr:from>
    <xdr:to>
      <xdr:col>3</xdr:col>
      <xdr:colOff>730250</xdr:colOff>
      <xdr:row>106</xdr:row>
      <xdr:rowOff>31750</xdr:rowOff>
    </xdr:to>
    <xdr:sp macro="" textlink="">
      <xdr:nvSpPr>
        <xdr:cNvPr id="12" name="Rectangle 25">
          <a:extLst>
            <a:ext uri="{FF2B5EF4-FFF2-40B4-BE49-F238E27FC236}">
              <a16:creationId xmlns:a16="http://schemas.microsoft.com/office/drawing/2014/main" id="{B00B5E4F-64EF-4D8B-9A8D-BFFEFA2CD900}"/>
            </a:ext>
          </a:extLst>
        </xdr:cNvPr>
        <xdr:cNvSpPr>
          <a:spLocks noChangeArrowheads="1"/>
        </xdr:cNvSpPr>
      </xdr:nvSpPr>
      <xdr:spPr bwMode="auto">
        <a:xfrm>
          <a:off x="1409700" y="16719550"/>
          <a:ext cx="1473200" cy="654050"/>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Transmitter</a:t>
          </a:r>
        </a:p>
        <a:p>
          <a:pPr algn="ctr" rtl="1">
            <a:defRPr sz="1000"/>
          </a:pPr>
          <a:r>
            <a:rPr lang="en-US" sz="1000" b="1" i="0" strike="noStrike">
              <a:solidFill>
                <a:srgbClr val="000000"/>
              </a:solidFill>
              <a:latin typeface="Arial"/>
              <a:cs typeface="Arial"/>
            </a:rPr>
            <a:t>Exciter/Modulator/</a:t>
          </a:r>
        </a:p>
        <a:p>
          <a:pPr algn="ctr" rtl="1">
            <a:defRPr sz="1000"/>
          </a:pPr>
          <a:r>
            <a:rPr lang="en-US" sz="1000" b="1" i="0" strike="noStrike">
              <a:solidFill>
                <a:srgbClr val="000000"/>
              </a:solidFill>
              <a:latin typeface="Arial"/>
              <a:cs typeface="Arial"/>
            </a:rPr>
            <a:t>FEC Encoder</a:t>
          </a:r>
        </a:p>
      </xdr:txBody>
    </xdr:sp>
    <xdr:clientData/>
  </xdr:twoCellAnchor>
  <xdr:twoCellAnchor>
    <xdr:from>
      <xdr:col>2</xdr:col>
      <xdr:colOff>361950</xdr:colOff>
      <xdr:row>65</xdr:row>
      <xdr:rowOff>133350</xdr:rowOff>
    </xdr:from>
    <xdr:to>
      <xdr:col>3</xdr:col>
      <xdr:colOff>254000</xdr:colOff>
      <xdr:row>75</xdr:row>
      <xdr:rowOff>133350</xdr:rowOff>
    </xdr:to>
    <xdr:grpSp>
      <xdr:nvGrpSpPr>
        <xdr:cNvPr id="13" name="Group 12">
          <a:extLst>
            <a:ext uri="{FF2B5EF4-FFF2-40B4-BE49-F238E27FC236}">
              <a16:creationId xmlns:a16="http://schemas.microsoft.com/office/drawing/2014/main" id="{D1602DD7-90F7-4784-8753-2FCE35DA8EC2}"/>
            </a:ext>
          </a:extLst>
        </xdr:cNvPr>
        <xdr:cNvGrpSpPr/>
      </xdr:nvGrpSpPr>
      <xdr:grpSpPr>
        <a:xfrm>
          <a:off x="1854200" y="10858500"/>
          <a:ext cx="552450" cy="1638300"/>
          <a:chOff x="1854200" y="10769600"/>
          <a:chExt cx="552450" cy="1638300"/>
        </a:xfrm>
      </xdr:grpSpPr>
      <xdr:sp macro="" textlink="">
        <xdr:nvSpPr>
          <xdr:cNvPr id="14" name="AutoShape 31">
            <a:extLst>
              <a:ext uri="{FF2B5EF4-FFF2-40B4-BE49-F238E27FC236}">
                <a16:creationId xmlns:a16="http://schemas.microsoft.com/office/drawing/2014/main" id="{AD9EDF27-3803-4EB9-B7B0-F9D3DCF8BE05}"/>
              </a:ext>
            </a:extLst>
          </xdr:cNvPr>
          <xdr:cNvSpPr>
            <a:spLocks noChangeArrowheads="1"/>
          </xdr:cNvSpPr>
        </xdr:nvSpPr>
        <xdr:spPr bwMode="auto">
          <a:xfrm>
            <a:off x="2076450" y="10769600"/>
            <a:ext cx="120650" cy="1638300"/>
          </a:xfrm>
          <a:prstGeom prst="upArrow">
            <a:avLst>
              <a:gd name="adj1" fmla="val 50000"/>
              <a:gd name="adj2" fmla="val 347222"/>
            </a:avLst>
          </a:prstGeom>
          <a:solidFill>
            <a:srgbClr val="FF0000"/>
          </a:solidFill>
          <a:ln w="9525">
            <a:solidFill>
              <a:srgbClr val="FF0000"/>
            </a:solidFill>
            <a:miter lim="800000"/>
            <a:headEnd/>
            <a:tailEnd/>
          </a:ln>
        </xdr:spPr>
      </xdr:sp>
      <xdr:sp macro="" textlink="">
        <xdr:nvSpPr>
          <xdr:cNvPr id="15" name="AutoShape 32">
            <a:extLst>
              <a:ext uri="{FF2B5EF4-FFF2-40B4-BE49-F238E27FC236}">
                <a16:creationId xmlns:a16="http://schemas.microsoft.com/office/drawing/2014/main" id="{DFD7375B-C82A-4783-B9D5-59FCBFE3CCE6}"/>
              </a:ext>
            </a:extLst>
          </xdr:cNvPr>
          <xdr:cNvSpPr>
            <a:spLocks noChangeArrowheads="1"/>
          </xdr:cNvSpPr>
        </xdr:nvSpPr>
        <xdr:spPr bwMode="auto">
          <a:xfrm>
            <a:off x="1924050" y="11582400"/>
            <a:ext cx="425450" cy="146050"/>
          </a:xfrm>
          <a:prstGeom prst="wave">
            <a:avLst>
              <a:gd name="adj1" fmla="val 20644"/>
              <a:gd name="adj2" fmla="val -1162"/>
            </a:avLst>
          </a:prstGeom>
          <a:solidFill>
            <a:srgbClr val="C0C0C0"/>
          </a:solidFill>
          <a:ln w="9525">
            <a:solidFill>
              <a:srgbClr val="000000"/>
            </a:solidFill>
            <a:round/>
            <a:headEnd/>
            <a:tailEnd/>
          </a:ln>
        </xdr:spPr>
      </xdr:sp>
      <xdr:sp macro="" textlink="">
        <xdr:nvSpPr>
          <xdr:cNvPr id="16" name="Rectangle 33">
            <a:extLst>
              <a:ext uri="{FF2B5EF4-FFF2-40B4-BE49-F238E27FC236}">
                <a16:creationId xmlns:a16="http://schemas.microsoft.com/office/drawing/2014/main" id="{E1192387-CB39-4D29-878D-32C27F6C63EC}"/>
              </a:ext>
            </a:extLst>
          </xdr:cNvPr>
          <xdr:cNvSpPr>
            <a:spLocks noChangeArrowheads="1"/>
          </xdr:cNvSpPr>
        </xdr:nvSpPr>
        <xdr:spPr bwMode="auto">
          <a:xfrm>
            <a:off x="1854200" y="11569700"/>
            <a:ext cx="82550" cy="133350"/>
          </a:xfrm>
          <a:prstGeom prst="rect">
            <a:avLst/>
          </a:prstGeom>
          <a:solidFill>
            <a:srgbClr val="C0C0C0"/>
          </a:solidFill>
          <a:ln w="9525">
            <a:solidFill>
              <a:srgbClr val="C0C0C0"/>
            </a:solidFill>
            <a:miter lim="800000"/>
            <a:headEnd/>
            <a:tailEnd/>
          </a:ln>
        </xdr:spPr>
      </xdr:sp>
      <xdr:sp macro="" textlink="">
        <xdr:nvSpPr>
          <xdr:cNvPr id="17" name="Rectangle 34">
            <a:extLst>
              <a:ext uri="{FF2B5EF4-FFF2-40B4-BE49-F238E27FC236}">
                <a16:creationId xmlns:a16="http://schemas.microsoft.com/office/drawing/2014/main" id="{48EAA6AA-D456-4321-8A60-A94DC7D2A50C}"/>
              </a:ext>
            </a:extLst>
          </xdr:cNvPr>
          <xdr:cNvSpPr>
            <a:spLocks noChangeArrowheads="1"/>
          </xdr:cNvSpPr>
        </xdr:nvSpPr>
        <xdr:spPr bwMode="auto">
          <a:xfrm>
            <a:off x="2330450" y="11595100"/>
            <a:ext cx="76200" cy="133350"/>
          </a:xfrm>
          <a:prstGeom prst="rect">
            <a:avLst/>
          </a:prstGeom>
          <a:solidFill>
            <a:srgbClr val="C0C0C0"/>
          </a:solidFill>
          <a:ln w="9525">
            <a:solidFill>
              <a:srgbClr val="C0C0C0"/>
            </a:solidFill>
            <a:miter lim="800000"/>
            <a:headEnd/>
            <a:tailEnd/>
          </a:ln>
        </xdr:spPr>
      </xdr:sp>
    </xdr:grpSp>
    <xdr:clientData/>
  </xdr:twoCellAnchor>
  <xdr:twoCellAnchor>
    <xdr:from>
      <xdr:col>0</xdr:col>
      <xdr:colOff>755650</xdr:colOff>
      <xdr:row>11</xdr:row>
      <xdr:rowOff>69850</xdr:rowOff>
    </xdr:from>
    <xdr:to>
      <xdr:col>1</xdr:col>
      <xdr:colOff>419100</xdr:colOff>
      <xdr:row>64</xdr:row>
      <xdr:rowOff>120650</xdr:rowOff>
    </xdr:to>
    <xdr:sp macro="" textlink="">
      <xdr:nvSpPr>
        <xdr:cNvPr id="18" name="AutoShape 47">
          <a:extLst>
            <a:ext uri="{FF2B5EF4-FFF2-40B4-BE49-F238E27FC236}">
              <a16:creationId xmlns:a16="http://schemas.microsoft.com/office/drawing/2014/main" id="{9E453E67-805C-431A-9C2B-6F15400611DC}"/>
            </a:ext>
          </a:extLst>
        </xdr:cNvPr>
        <xdr:cNvSpPr>
          <a:spLocks/>
        </xdr:cNvSpPr>
      </xdr:nvSpPr>
      <xdr:spPr bwMode="auto">
        <a:xfrm>
          <a:off x="755650" y="1981200"/>
          <a:ext cx="539750" cy="8667750"/>
        </a:xfrm>
        <a:prstGeom prst="leftBrace">
          <a:avLst>
            <a:gd name="adj1" fmla="val 137048"/>
            <a:gd name="adj2" fmla="val 50444"/>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0</xdr:col>
      <xdr:colOff>850900</xdr:colOff>
      <xdr:row>76</xdr:row>
      <xdr:rowOff>76200</xdr:rowOff>
    </xdr:from>
    <xdr:to>
      <xdr:col>1</xdr:col>
      <xdr:colOff>368300</xdr:colOff>
      <xdr:row>106</xdr:row>
      <xdr:rowOff>38100</xdr:rowOff>
    </xdr:to>
    <xdr:sp macro="" textlink="">
      <xdr:nvSpPr>
        <xdr:cNvPr id="19" name="AutoShape 48">
          <a:extLst>
            <a:ext uri="{FF2B5EF4-FFF2-40B4-BE49-F238E27FC236}">
              <a16:creationId xmlns:a16="http://schemas.microsoft.com/office/drawing/2014/main" id="{54469700-6BF1-407A-9417-A9EF74ADA5E6}"/>
            </a:ext>
          </a:extLst>
        </xdr:cNvPr>
        <xdr:cNvSpPr>
          <a:spLocks/>
        </xdr:cNvSpPr>
      </xdr:nvSpPr>
      <xdr:spPr bwMode="auto">
        <a:xfrm>
          <a:off x="850900" y="12560300"/>
          <a:ext cx="393700" cy="4819650"/>
        </a:xfrm>
        <a:prstGeom prst="leftBrace">
          <a:avLst>
            <a:gd name="adj1" fmla="val 109649"/>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0</xdr:col>
      <xdr:colOff>403225</xdr:colOff>
      <xdr:row>37</xdr:row>
      <xdr:rowOff>63500</xdr:rowOff>
    </xdr:from>
    <xdr:ext cx="232243" cy="170560"/>
    <xdr:sp macro="" textlink="">
      <xdr:nvSpPr>
        <xdr:cNvPr id="20" name="Text Box 49">
          <a:extLst>
            <a:ext uri="{FF2B5EF4-FFF2-40B4-BE49-F238E27FC236}">
              <a16:creationId xmlns:a16="http://schemas.microsoft.com/office/drawing/2014/main" id="{739C4BB1-CBAA-40FA-B64B-CA6234E007A7}"/>
            </a:ext>
          </a:extLst>
        </xdr:cNvPr>
        <xdr:cNvSpPr txBox="1">
          <a:spLocks noChangeArrowheads="1"/>
        </xdr:cNvSpPr>
      </xdr:nvSpPr>
      <xdr:spPr bwMode="auto">
        <a:xfrm>
          <a:off x="403225" y="6242050"/>
          <a:ext cx="232243"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S/C</a:t>
          </a:r>
        </a:p>
      </xdr:txBody>
    </xdr:sp>
    <xdr:clientData/>
  </xdr:oneCellAnchor>
  <xdr:oneCellAnchor>
    <xdr:from>
      <xdr:col>0</xdr:col>
      <xdr:colOff>298450</xdr:colOff>
      <xdr:row>89</xdr:row>
      <xdr:rowOff>133350</xdr:rowOff>
    </xdr:from>
    <xdr:ext cx="481542" cy="318036"/>
    <xdr:sp macro="" textlink="">
      <xdr:nvSpPr>
        <xdr:cNvPr id="21" name="Text Box 50">
          <a:extLst>
            <a:ext uri="{FF2B5EF4-FFF2-40B4-BE49-F238E27FC236}">
              <a16:creationId xmlns:a16="http://schemas.microsoft.com/office/drawing/2014/main" id="{E2076923-CADD-4AE3-A1C6-B8D2A033E7B5}"/>
            </a:ext>
          </a:extLst>
        </xdr:cNvPr>
        <xdr:cNvSpPr txBox="1">
          <a:spLocks noChangeArrowheads="1"/>
        </xdr:cNvSpPr>
      </xdr:nvSpPr>
      <xdr:spPr bwMode="auto">
        <a:xfrm>
          <a:off x="298450" y="14770100"/>
          <a:ext cx="481542" cy="318036"/>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Ground</a:t>
          </a:r>
        </a:p>
        <a:p>
          <a:pPr algn="l" rtl="1">
            <a:defRPr sz="1000"/>
          </a:pPr>
          <a:r>
            <a:rPr lang="en-US" sz="1000" b="1" i="0" strike="noStrike">
              <a:solidFill>
                <a:srgbClr val="000000"/>
              </a:solidFill>
              <a:latin typeface="Arial"/>
              <a:cs typeface="Arial"/>
            </a:rPr>
            <a:t>Station</a:t>
          </a:r>
        </a:p>
      </xdr:txBody>
    </xdr:sp>
    <xdr:clientData/>
  </xdr:oneCellAnchor>
  <xdr:twoCellAnchor>
    <xdr:from>
      <xdr:col>3</xdr:col>
      <xdr:colOff>0</xdr:colOff>
      <xdr:row>4</xdr:row>
      <xdr:rowOff>76200</xdr:rowOff>
    </xdr:from>
    <xdr:to>
      <xdr:col>3</xdr:col>
      <xdr:colOff>685800</xdr:colOff>
      <xdr:row>4</xdr:row>
      <xdr:rowOff>76200</xdr:rowOff>
    </xdr:to>
    <xdr:sp macro="" textlink="">
      <xdr:nvSpPr>
        <xdr:cNvPr id="22" name="Line 51">
          <a:extLst>
            <a:ext uri="{FF2B5EF4-FFF2-40B4-BE49-F238E27FC236}">
              <a16:creationId xmlns:a16="http://schemas.microsoft.com/office/drawing/2014/main" id="{7EF172EF-05FB-4FA9-AE05-1AF0EC1286AA}"/>
            </a:ext>
          </a:extLst>
        </xdr:cNvPr>
        <xdr:cNvSpPr>
          <a:spLocks noChangeShapeType="1"/>
        </xdr:cNvSpPr>
      </xdr:nvSpPr>
      <xdr:spPr bwMode="auto">
        <a:xfrm>
          <a:off x="2152650" y="831850"/>
          <a:ext cx="685800" cy="0"/>
        </a:xfrm>
        <a:prstGeom prst="line">
          <a:avLst/>
        </a:prstGeom>
        <a:noFill/>
        <a:ln w="9525">
          <a:solidFill>
            <a:srgbClr val="000000"/>
          </a:solidFill>
          <a:prstDash val="lgDashDotDot"/>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12700</xdr:colOff>
      <xdr:row>6</xdr:row>
      <xdr:rowOff>95250</xdr:rowOff>
    </xdr:from>
    <xdr:to>
      <xdr:col>3</xdr:col>
      <xdr:colOff>698500</xdr:colOff>
      <xdr:row>6</xdr:row>
      <xdr:rowOff>95250</xdr:rowOff>
    </xdr:to>
    <xdr:sp macro="" textlink="">
      <xdr:nvSpPr>
        <xdr:cNvPr id="23" name="Line 52">
          <a:extLst>
            <a:ext uri="{FF2B5EF4-FFF2-40B4-BE49-F238E27FC236}">
              <a16:creationId xmlns:a16="http://schemas.microsoft.com/office/drawing/2014/main" id="{76A8AFD0-5986-40B2-B8B8-98C16C8793ED}"/>
            </a:ext>
          </a:extLst>
        </xdr:cNvPr>
        <xdr:cNvSpPr>
          <a:spLocks noChangeShapeType="1"/>
        </xdr:cNvSpPr>
      </xdr:nvSpPr>
      <xdr:spPr bwMode="auto">
        <a:xfrm>
          <a:off x="2165350" y="1187450"/>
          <a:ext cx="685800" cy="0"/>
        </a:xfrm>
        <a:prstGeom prst="line">
          <a:avLst/>
        </a:prstGeom>
        <a:noFill/>
        <a:ln w="9525">
          <a:solidFill>
            <a:srgbClr val="000000"/>
          </a:solidFill>
          <a:prstDash val="lgDashDotDot"/>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0</xdr:col>
      <xdr:colOff>806450</xdr:colOff>
      <xdr:row>69</xdr:row>
      <xdr:rowOff>142875</xdr:rowOff>
    </xdr:from>
    <xdr:ext cx="454602" cy="337098"/>
    <xdr:sp macro="" textlink="">
      <xdr:nvSpPr>
        <xdr:cNvPr id="24" name="Text Box 53">
          <a:extLst>
            <a:ext uri="{FF2B5EF4-FFF2-40B4-BE49-F238E27FC236}">
              <a16:creationId xmlns:a16="http://schemas.microsoft.com/office/drawing/2014/main" id="{4FAE30E9-3198-4A3E-82E7-EEACAA5CA285}"/>
            </a:ext>
          </a:extLst>
        </xdr:cNvPr>
        <xdr:cNvSpPr txBox="1">
          <a:spLocks noChangeArrowheads="1"/>
        </xdr:cNvSpPr>
      </xdr:nvSpPr>
      <xdr:spPr bwMode="auto">
        <a:xfrm>
          <a:off x="806450" y="11503025"/>
          <a:ext cx="454602" cy="337098"/>
        </a:xfrm>
        <a:prstGeom prst="rect">
          <a:avLst/>
        </a:prstGeom>
        <a:noFill/>
        <a:ln w="9525">
          <a:noFill/>
          <a:miter lim="800000"/>
          <a:headEnd/>
          <a:tailEnd/>
        </a:ln>
      </xdr:spPr>
      <xdr:txBody>
        <a:bodyPr wrap="none" lIns="18288" tIns="22860" rIns="18288" bIns="0" anchor="t" upright="1">
          <a:spAutoFit/>
        </a:bodyPr>
        <a:lstStyle/>
        <a:p>
          <a:pPr algn="ctr" rtl="1">
            <a:defRPr sz="1000"/>
          </a:pPr>
          <a:r>
            <a:rPr lang="en-US" sz="1000" b="1" i="0" strike="noStrike">
              <a:solidFill>
                <a:srgbClr val="000000"/>
              </a:solidFill>
              <a:latin typeface="Arial"/>
              <a:cs typeface="Arial"/>
            </a:rPr>
            <a:t>RADIO</a:t>
          </a:r>
        </a:p>
        <a:p>
          <a:pPr algn="ctr" rtl="1">
            <a:defRPr sz="1000"/>
          </a:pPr>
          <a:r>
            <a:rPr lang="en-US" sz="1000" b="1" i="0" strike="noStrike">
              <a:solidFill>
                <a:srgbClr val="000000"/>
              </a:solidFill>
              <a:latin typeface="Arial"/>
              <a:cs typeface="Arial"/>
            </a:rPr>
            <a:t>LINK</a:t>
          </a:r>
        </a:p>
      </xdr:txBody>
    </xdr:sp>
    <xdr:clientData/>
  </xdr:oneCellAnchor>
  <xdr:twoCellAnchor>
    <xdr:from>
      <xdr:col>10</xdr:col>
      <xdr:colOff>273050</xdr:colOff>
      <xdr:row>33</xdr:row>
      <xdr:rowOff>69850</xdr:rowOff>
    </xdr:from>
    <xdr:to>
      <xdr:col>11</xdr:col>
      <xdr:colOff>457200</xdr:colOff>
      <xdr:row>38</xdr:row>
      <xdr:rowOff>1270</xdr:rowOff>
    </xdr:to>
    <xdr:sp macro="" textlink="">
      <xdr:nvSpPr>
        <xdr:cNvPr id="25" name="AutoShape 65">
          <a:extLst>
            <a:ext uri="{FF2B5EF4-FFF2-40B4-BE49-F238E27FC236}">
              <a16:creationId xmlns:a16="http://schemas.microsoft.com/office/drawing/2014/main" id="{400FCFB9-7989-4C63-B0FE-68A482392DCC}"/>
            </a:ext>
          </a:extLst>
        </xdr:cNvPr>
        <xdr:cNvSpPr>
          <a:spLocks noChangeArrowheads="1"/>
        </xdr:cNvSpPr>
      </xdr:nvSpPr>
      <xdr:spPr bwMode="auto">
        <a:xfrm>
          <a:off x="6711950" y="5568950"/>
          <a:ext cx="914400" cy="769620"/>
        </a:xfrm>
        <a:prstGeom prst="triangle">
          <a:avLst>
            <a:gd name="adj" fmla="val 50000"/>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273050</xdr:colOff>
      <xdr:row>49</xdr:row>
      <xdr:rowOff>113030</xdr:rowOff>
    </xdr:from>
    <xdr:to>
      <xdr:col>11</xdr:col>
      <xdr:colOff>457200</xdr:colOff>
      <xdr:row>54</xdr:row>
      <xdr:rowOff>44450</xdr:rowOff>
    </xdr:to>
    <xdr:sp macro="" textlink="">
      <xdr:nvSpPr>
        <xdr:cNvPr id="26" name="AutoShape 67">
          <a:extLst>
            <a:ext uri="{FF2B5EF4-FFF2-40B4-BE49-F238E27FC236}">
              <a16:creationId xmlns:a16="http://schemas.microsoft.com/office/drawing/2014/main" id="{FE634361-48C6-4D8B-BBF5-52DFDD1A43F5}"/>
            </a:ext>
          </a:extLst>
        </xdr:cNvPr>
        <xdr:cNvSpPr>
          <a:spLocks noChangeArrowheads="1"/>
        </xdr:cNvSpPr>
      </xdr:nvSpPr>
      <xdr:spPr bwMode="auto">
        <a:xfrm rot="10800000">
          <a:off x="6711950" y="8247380"/>
          <a:ext cx="914400" cy="731520"/>
        </a:xfrm>
        <a:prstGeom prst="triangle">
          <a:avLst>
            <a:gd name="adj" fmla="val 50000"/>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482600</xdr:colOff>
      <xdr:row>38</xdr:row>
      <xdr:rowOff>152400</xdr:rowOff>
    </xdr:from>
    <xdr:to>
      <xdr:col>11</xdr:col>
      <xdr:colOff>273049</xdr:colOff>
      <xdr:row>49</xdr:row>
      <xdr:rowOff>0</xdr:rowOff>
    </xdr:to>
    <xdr:grpSp>
      <xdr:nvGrpSpPr>
        <xdr:cNvPr id="27" name="Group 26">
          <a:extLst>
            <a:ext uri="{FF2B5EF4-FFF2-40B4-BE49-F238E27FC236}">
              <a16:creationId xmlns:a16="http://schemas.microsoft.com/office/drawing/2014/main" id="{0DFFF2A2-399A-48A8-BBCB-E56E391122A7}"/>
            </a:ext>
          </a:extLst>
        </xdr:cNvPr>
        <xdr:cNvGrpSpPr/>
      </xdr:nvGrpSpPr>
      <xdr:grpSpPr>
        <a:xfrm>
          <a:off x="6921500" y="6527800"/>
          <a:ext cx="520699" cy="1644650"/>
          <a:chOff x="6921500" y="6356350"/>
          <a:chExt cx="520699" cy="1644650"/>
        </a:xfrm>
      </xdr:grpSpPr>
      <xdr:sp macro="" textlink="">
        <xdr:nvSpPr>
          <xdr:cNvPr id="28" name="AutoShape 74">
            <a:extLst>
              <a:ext uri="{FF2B5EF4-FFF2-40B4-BE49-F238E27FC236}">
                <a16:creationId xmlns:a16="http://schemas.microsoft.com/office/drawing/2014/main" id="{09D30B28-F42B-4BAC-85A6-9123A105C629}"/>
              </a:ext>
            </a:extLst>
          </xdr:cNvPr>
          <xdr:cNvSpPr>
            <a:spLocks noChangeArrowheads="1"/>
          </xdr:cNvSpPr>
        </xdr:nvSpPr>
        <xdr:spPr bwMode="auto">
          <a:xfrm rot="10800000">
            <a:off x="7118350" y="6356350"/>
            <a:ext cx="114300" cy="1644650"/>
          </a:xfrm>
          <a:prstGeom prst="upArrow">
            <a:avLst>
              <a:gd name="adj1" fmla="val 50000"/>
              <a:gd name="adj2" fmla="val 294444"/>
            </a:avLst>
          </a:prstGeom>
          <a:solidFill>
            <a:srgbClr val="FF0000"/>
          </a:solidFill>
          <a:ln w="9525">
            <a:solidFill>
              <a:srgbClr val="FF0000"/>
            </a:solidFill>
            <a:miter lim="800000"/>
            <a:headEnd/>
            <a:tailEnd/>
          </a:ln>
        </xdr:spPr>
      </xdr:sp>
      <xdr:sp macro="" textlink="">
        <xdr:nvSpPr>
          <xdr:cNvPr id="29" name="AutoShape 75">
            <a:extLst>
              <a:ext uri="{FF2B5EF4-FFF2-40B4-BE49-F238E27FC236}">
                <a16:creationId xmlns:a16="http://schemas.microsoft.com/office/drawing/2014/main" id="{B7483F7D-8343-4349-9C2C-C7DFA12527A2}"/>
              </a:ext>
            </a:extLst>
          </xdr:cNvPr>
          <xdr:cNvSpPr>
            <a:spLocks noChangeArrowheads="1"/>
          </xdr:cNvSpPr>
        </xdr:nvSpPr>
        <xdr:spPr bwMode="auto">
          <a:xfrm rot="-10372499">
            <a:off x="6985000" y="7042150"/>
            <a:ext cx="406400" cy="152400"/>
          </a:xfrm>
          <a:prstGeom prst="wave">
            <a:avLst>
              <a:gd name="adj1" fmla="val 20644"/>
              <a:gd name="adj2" fmla="val -1162"/>
            </a:avLst>
          </a:prstGeom>
          <a:solidFill>
            <a:srgbClr val="C0C0C0"/>
          </a:solidFill>
          <a:ln w="9525">
            <a:solidFill>
              <a:srgbClr val="000000"/>
            </a:solidFill>
            <a:round/>
            <a:headEnd/>
            <a:tailEnd/>
          </a:ln>
        </xdr:spPr>
      </xdr:sp>
      <xdr:sp macro="" textlink="">
        <xdr:nvSpPr>
          <xdr:cNvPr id="30" name="Rectangle 76">
            <a:extLst>
              <a:ext uri="{FF2B5EF4-FFF2-40B4-BE49-F238E27FC236}">
                <a16:creationId xmlns:a16="http://schemas.microsoft.com/office/drawing/2014/main" id="{46A92B98-F242-4761-BC30-0D529F709280}"/>
              </a:ext>
            </a:extLst>
          </xdr:cNvPr>
          <xdr:cNvSpPr>
            <a:spLocks noChangeArrowheads="1"/>
          </xdr:cNvSpPr>
        </xdr:nvSpPr>
        <xdr:spPr bwMode="auto">
          <a:xfrm rot="-10800000">
            <a:off x="6921500" y="7023100"/>
            <a:ext cx="82550" cy="139700"/>
          </a:xfrm>
          <a:prstGeom prst="rect">
            <a:avLst/>
          </a:prstGeom>
          <a:solidFill>
            <a:srgbClr val="C0C0C0"/>
          </a:solidFill>
          <a:ln w="9525">
            <a:solidFill>
              <a:srgbClr val="C0C0C0"/>
            </a:solidFill>
            <a:miter lim="800000"/>
            <a:headEnd/>
            <a:tailEnd/>
          </a:ln>
        </xdr:spPr>
      </xdr:sp>
      <xdr:sp macro="" textlink="">
        <xdr:nvSpPr>
          <xdr:cNvPr id="31" name="Rectangle 77">
            <a:extLst>
              <a:ext uri="{FF2B5EF4-FFF2-40B4-BE49-F238E27FC236}">
                <a16:creationId xmlns:a16="http://schemas.microsoft.com/office/drawing/2014/main" id="{FC870570-1881-47A0-AED9-D0E7BB8039C1}"/>
              </a:ext>
            </a:extLst>
          </xdr:cNvPr>
          <xdr:cNvSpPr>
            <a:spLocks noChangeArrowheads="1"/>
          </xdr:cNvSpPr>
        </xdr:nvSpPr>
        <xdr:spPr bwMode="auto">
          <a:xfrm rot="10800000">
            <a:off x="7372349" y="7092950"/>
            <a:ext cx="69850" cy="127000"/>
          </a:xfrm>
          <a:prstGeom prst="rect">
            <a:avLst/>
          </a:prstGeom>
          <a:solidFill>
            <a:srgbClr val="C0C0C0"/>
          </a:solidFill>
          <a:ln w="9525">
            <a:solidFill>
              <a:srgbClr val="C0C0C0"/>
            </a:solidFill>
            <a:miter lim="800000"/>
            <a:headEnd/>
            <a:tailEnd/>
          </a:ln>
        </xdr:spPr>
      </xdr:sp>
    </xdr:grpSp>
    <xdr:clientData/>
  </xdr:twoCellAnchor>
  <xdr:twoCellAnchor>
    <xdr:from>
      <xdr:col>12</xdr:col>
      <xdr:colOff>0</xdr:colOff>
      <xdr:row>106</xdr:row>
      <xdr:rowOff>95250</xdr:rowOff>
    </xdr:from>
    <xdr:to>
      <xdr:col>13</xdr:col>
      <xdr:colOff>0</xdr:colOff>
      <xdr:row>106</xdr:row>
      <xdr:rowOff>95250</xdr:rowOff>
    </xdr:to>
    <xdr:sp macro="" textlink="">
      <xdr:nvSpPr>
        <xdr:cNvPr id="32" name="Line 97">
          <a:extLst>
            <a:ext uri="{FF2B5EF4-FFF2-40B4-BE49-F238E27FC236}">
              <a16:creationId xmlns:a16="http://schemas.microsoft.com/office/drawing/2014/main" id="{40C4B08A-F969-4353-BFC8-D21FC55DFDF9}"/>
            </a:ext>
          </a:extLst>
        </xdr:cNvPr>
        <xdr:cNvSpPr>
          <a:spLocks noChangeShapeType="1"/>
        </xdr:cNvSpPr>
      </xdr:nvSpPr>
      <xdr:spPr bwMode="auto">
        <a:xfrm>
          <a:off x="7854950" y="17437100"/>
          <a:ext cx="730250" cy="0"/>
        </a:xfrm>
        <a:prstGeom prst="line">
          <a:avLst/>
        </a:prstGeom>
        <a:noFill/>
        <a:ln w="9525">
          <a:solidFill>
            <a:srgbClr val="000000"/>
          </a:solidFill>
          <a:prstDash val="lgDashDotDot"/>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12</xdr:col>
      <xdr:colOff>12700</xdr:colOff>
      <xdr:row>108</xdr:row>
      <xdr:rowOff>76200</xdr:rowOff>
    </xdr:from>
    <xdr:to>
      <xdr:col>13</xdr:col>
      <xdr:colOff>12700</xdr:colOff>
      <xdr:row>108</xdr:row>
      <xdr:rowOff>76200</xdr:rowOff>
    </xdr:to>
    <xdr:sp macro="" textlink="">
      <xdr:nvSpPr>
        <xdr:cNvPr id="33" name="Line 98">
          <a:extLst>
            <a:ext uri="{FF2B5EF4-FFF2-40B4-BE49-F238E27FC236}">
              <a16:creationId xmlns:a16="http://schemas.microsoft.com/office/drawing/2014/main" id="{3FBCEC7B-FB10-4519-B490-467B6549E1DD}"/>
            </a:ext>
          </a:extLst>
        </xdr:cNvPr>
        <xdr:cNvSpPr>
          <a:spLocks noChangeShapeType="1"/>
        </xdr:cNvSpPr>
      </xdr:nvSpPr>
      <xdr:spPr bwMode="auto">
        <a:xfrm>
          <a:off x="7867650" y="17754600"/>
          <a:ext cx="730250" cy="0"/>
        </a:xfrm>
        <a:prstGeom prst="line">
          <a:avLst/>
        </a:prstGeom>
        <a:noFill/>
        <a:ln w="9525">
          <a:solidFill>
            <a:srgbClr val="000000"/>
          </a:solidFill>
          <a:prstDash val="lgDashDotDot"/>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9</xdr:col>
      <xdr:colOff>298450</xdr:colOff>
      <xdr:row>49</xdr:row>
      <xdr:rowOff>152400</xdr:rowOff>
    </xdr:from>
    <xdr:to>
      <xdr:col>9</xdr:col>
      <xdr:colOff>635000</xdr:colOff>
      <xdr:row>101</xdr:row>
      <xdr:rowOff>120650</xdr:rowOff>
    </xdr:to>
    <xdr:sp macro="" textlink="">
      <xdr:nvSpPr>
        <xdr:cNvPr id="34" name="AutoShape 99">
          <a:extLst>
            <a:ext uri="{FF2B5EF4-FFF2-40B4-BE49-F238E27FC236}">
              <a16:creationId xmlns:a16="http://schemas.microsoft.com/office/drawing/2014/main" id="{36121B5C-B257-44D3-8D5D-7016E0E46756}"/>
            </a:ext>
          </a:extLst>
        </xdr:cNvPr>
        <xdr:cNvSpPr>
          <a:spLocks/>
        </xdr:cNvSpPr>
      </xdr:nvSpPr>
      <xdr:spPr bwMode="auto">
        <a:xfrm>
          <a:off x="6076950" y="8286750"/>
          <a:ext cx="336550" cy="8375650"/>
        </a:xfrm>
        <a:prstGeom prst="leftBrace">
          <a:avLst>
            <a:gd name="adj1" fmla="val 195972"/>
            <a:gd name="adj2" fmla="val 50444"/>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8</xdr:col>
      <xdr:colOff>60325</xdr:colOff>
      <xdr:row>74</xdr:row>
      <xdr:rowOff>139700</xdr:rowOff>
    </xdr:from>
    <xdr:ext cx="494833" cy="336987"/>
    <xdr:sp macro="" textlink="">
      <xdr:nvSpPr>
        <xdr:cNvPr id="35" name="Text Box 100">
          <a:extLst>
            <a:ext uri="{FF2B5EF4-FFF2-40B4-BE49-F238E27FC236}">
              <a16:creationId xmlns:a16="http://schemas.microsoft.com/office/drawing/2014/main" id="{83E9B7AC-42DC-44AE-8055-B5ACD584134C}"/>
            </a:ext>
          </a:extLst>
        </xdr:cNvPr>
        <xdr:cNvSpPr txBox="1">
          <a:spLocks noChangeArrowheads="1"/>
        </xdr:cNvSpPr>
      </xdr:nvSpPr>
      <xdr:spPr bwMode="auto">
        <a:xfrm>
          <a:off x="5572125" y="12306300"/>
          <a:ext cx="494833" cy="336987"/>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Ground</a:t>
          </a:r>
          <a:endParaRPr lang="en-US" sz="1000" b="0" i="0" strike="noStrike">
            <a:solidFill>
              <a:srgbClr val="000000"/>
            </a:solidFill>
            <a:latin typeface="Arial"/>
            <a:cs typeface="Arial"/>
          </a:endParaRPr>
        </a:p>
        <a:p>
          <a:pPr algn="l" rtl="1">
            <a:defRPr sz="1000"/>
          </a:pPr>
          <a:r>
            <a:rPr lang="en-US" sz="1000" b="1" i="0" strike="noStrike">
              <a:solidFill>
                <a:srgbClr val="000000"/>
              </a:solidFill>
              <a:latin typeface="Arial"/>
              <a:cs typeface="Arial"/>
            </a:rPr>
            <a:t>Station</a:t>
          </a:r>
        </a:p>
      </xdr:txBody>
    </xdr:sp>
    <xdr:clientData/>
  </xdr:oneCellAnchor>
  <xdr:twoCellAnchor>
    <xdr:from>
      <xdr:col>9</xdr:col>
      <xdr:colOff>209550</xdr:colOff>
      <xdr:row>6</xdr:row>
      <xdr:rowOff>50800</xdr:rowOff>
    </xdr:from>
    <xdr:to>
      <xdr:col>9</xdr:col>
      <xdr:colOff>596900</xdr:colOff>
      <xdr:row>37</xdr:row>
      <xdr:rowOff>146050</xdr:rowOff>
    </xdr:to>
    <xdr:sp macro="" textlink="">
      <xdr:nvSpPr>
        <xdr:cNvPr id="36" name="AutoShape 101">
          <a:extLst>
            <a:ext uri="{FF2B5EF4-FFF2-40B4-BE49-F238E27FC236}">
              <a16:creationId xmlns:a16="http://schemas.microsoft.com/office/drawing/2014/main" id="{22DC03D6-6B04-438C-874E-69FFF1F8892A}"/>
            </a:ext>
          </a:extLst>
        </xdr:cNvPr>
        <xdr:cNvSpPr>
          <a:spLocks/>
        </xdr:cNvSpPr>
      </xdr:nvSpPr>
      <xdr:spPr bwMode="auto">
        <a:xfrm>
          <a:off x="5988050" y="1143000"/>
          <a:ext cx="387350" cy="5181600"/>
        </a:xfrm>
        <a:prstGeom prst="leftBrace">
          <a:avLst>
            <a:gd name="adj1" fmla="val 168640"/>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8</xdr:col>
      <xdr:colOff>171450</xdr:colOff>
      <xdr:row>21</xdr:row>
      <xdr:rowOff>79375</xdr:rowOff>
    </xdr:from>
    <xdr:ext cx="232242" cy="176972"/>
    <xdr:sp macro="" textlink="">
      <xdr:nvSpPr>
        <xdr:cNvPr id="37" name="Text Box 102">
          <a:extLst>
            <a:ext uri="{FF2B5EF4-FFF2-40B4-BE49-F238E27FC236}">
              <a16:creationId xmlns:a16="http://schemas.microsoft.com/office/drawing/2014/main" id="{DEE0B62B-5B6E-4FC7-8805-BFAB9BDC16AB}"/>
            </a:ext>
          </a:extLst>
        </xdr:cNvPr>
        <xdr:cNvSpPr txBox="1">
          <a:spLocks noChangeArrowheads="1"/>
        </xdr:cNvSpPr>
      </xdr:nvSpPr>
      <xdr:spPr bwMode="auto">
        <a:xfrm>
          <a:off x="5683250" y="3629025"/>
          <a:ext cx="232242"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S/C</a:t>
          </a:r>
        </a:p>
      </xdr:txBody>
    </xdr:sp>
    <xdr:clientData/>
  </xdr:oneCellAnchor>
  <xdr:oneCellAnchor>
    <xdr:from>
      <xdr:col>9</xdr:col>
      <xdr:colOff>237443</xdr:colOff>
      <xdr:row>42</xdr:row>
      <xdr:rowOff>127000</xdr:rowOff>
    </xdr:from>
    <xdr:ext cx="525169" cy="336876"/>
    <xdr:sp macro="" textlink="">
      <xdr:nvSpPr>
        <xdr:cNvPr id="38" name="Text Box 103">
          <a:extLst>
            <a:ext uri="{FF2B5EF4-FFF2-40B4-BE49-F238E27FC236}">
              <a16:creationId xmlns:a16="http://schemas.microsoft.com/office/drawing/2014/main" id="{302D4839-EF10-4851-BF16-A9E3D1D16AA4}"/>
            </a:ext>
          </a:extLst>
        </xdr:cNvPr>
        <xdr:cNvSpPr txBox="1">
          <a:spLocks noChangeArrowheads="1"/>
        </xdr:cNvSpPr>
      </xdr:nvSpPr>
      <xdr:spPr bwMode="auto">
        <a:xfrm>
          <a:off x="6015943" y="7105650"/>
          <a:ext cx="525169" cy="336876"/>
        </a:xfrm>
        <a:prstGeom prst="rect">
          <a:avLst/>
        </a:prstGeom>
        <a:noFill/>
        <a:ln w="9525">
          <a:noFill/>
          <a:miter lim="800000"/>
          <a:headEnd/>
          <a:tailEnd/>
        </a:ln>
      </xdr:spPr>
      <xdr:txBody>
        <a:bodyPr wrap="none" lIns="18288" tIns="22860" rIns="18288" bIns="0" anchor="t" upright="1">
          <a:spAutoFit/>
        </a:bodyPr>
        <a:lstStyle/>
        <a:p>
          <a:pPr algn="ctr" rtl="1">
            <a:defRPr sz="1000"/>
          </a:pPr>
          <a:r>
            <a:rPr lang="en-US" sz="1000" b="1" i="0" strike="noStrike">
              <a:solidFill>
                <a:srgbClr val="000000"/>
              </a:solidFill>
              <a:latin typeface="Arial"/>
              <a:cs typeface="Arial"/>
            </a:rPr>
            <a:t>RADIO</a:t>
          </a:r>
        </a:p>
        <a:p>
          <a:pPr algn="ctr" rtl="1">
            <a:defRPr sz="1000"/>
          </a:pPr>
          <a:r>
            <a:rPr lang="en-US" sz="1000" b="1" i="0" strike="noStrike">
              <a:solidFill>
                <a:srgbClr val="000000"/>
              </a:solidFill>
              <a:latin typeface="Arial"/>
              <a:cs typeface="Arial"/>
            </a:rPr>
            <a:t>LINK</a:t>
          </a:r>
        </a:p>
      </xdr:txBody>
    </xdr:sp>
    <xdr:clientData/>
  </xdr:oneCellAnchor>
  <xdr:twoCellAnchor>
    <xdr:from>
      <xdr:col>1</xdr:col>
      <xdr:colOff>539750</xdr:colOff>
      <xdr:row>86</xdr:row>
      <xdr:rowOff>3175</xdr:rowOff>
    </xdr:from>
    <xdr:to>
      <xdr:col>3</xdr:col>
      <xdr:colOff>733425</xdr:colOff>
      <xdr:row>89</xdr:row>
      <xdr:rowOff>133350</xdr:rowOff>
    </xdr:to>
    <xdr:sp macro="" textlink="">
      <xdr:nvSpPr>
        <xdr:cNvPr id="39" name="Rectangle 21">
          <a:extLst>
            <a:ext uri="{FF2B5EF4-FFF2-40B4-BE49-F238E27FC236}">
              <a16:creationId xmlns:a16="http://schemas.microsoft.com/office/drawing/2014/main" id="{B602557A-3588-4FB8-9673-59B08271C50F}"/>
            </a:ext>
          </a:extLst>
        </xdr:cNvPr>
        <xdr:cNvSpPr>
          <a:spLocks noChangeArrowheads="1"/>
        </xdr:cNvSpPr>
      </xdr:nvSpPr>
      <xdr:spPr bwMode="auto">
        <a:xfrm>
          <a:off x="1416050" y="14125575"/>
          <a:ext cx="1470025" cy="644525"/>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Cable</a:t>
          </a:r>
          <a:r>
            <a:rPr lang="en-US" sz="1000" b="1" i="0" strike="noStrike" baseline="0">
              <a:solidFill>
                <a:srgbClr val="000000"/>
              </a:solidFill>
              <a:latin typeface="Arial"/>
              <a:cs typeface="Arial"/>
            </a:rPr>
            <a:t> losses,</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Connectors, &amp;</a:t>
          </a:r>
          <a:br>
            <a:rPr lang="en-US" sz="1000" b="1" i="0" strike="noStrike">
              <a:solidFill>
                <a:srgbClr val="000000"/>
              </a:solidFill>
              <a:latin typeface="Arial"/>
              <a:cs typeface="Arial"/>
            </a:rPr>
          </a:br>
          <a:r>
            <a:rPr lang="en-US" sz="1000" b="1" i="0" strike="noStrike">
              <a:solidFill>
                <a:srgbClr val="000000"/>
              </a:solidFill>
              <a:latin typeface="Arial"/>
              <a:cs typeface="Arial"/>
            </a:rPr>
            <a:t>In-Line</a:t>
          </a:r>
          <a:r>
            <a:rPr lang="en-US" sz="1000" b="1" i="0" strike="noStrike" baseline="0">
              <a:solidFill>
                <a:srgbClr val="000000"/>
              </a:solidFill>
              <a:latin typeface="Arial"/>
              <a:cs typeface="Arial"/>
            </a:rPr>
            <a:t> Devices</a:t>
          </a:r>
          <a:endParaRPr lang="en-US" sz="1000" b="1" i="0" strike="noStrike">
            <a:solidFill>
              <a:srgbClr val="000000"/>
            </a:solidFill>
            <a:latin typeface="Arial"/>
            <a:cs typeface="Arial"/>
          </a:endParaRPr>
        </a:p>
      </xdr:txBody>
    </xdr:sp>
    <xdr:clientData/>
  </xdr:twoCellAnchor>
  <xdr:twoCellAnchor>
    <xdr:from>
      <xdr:col>1</xdr:col>
      <xdr:colOff>514350</xdr:colOff>
      <xdr:row>53</xdr:row>
      <xdr:rowOff>28575</xdr:rowOff>
    </xdr:from>
    <xdr:to>
      <xdr:col>3</xdr:col>
      <xdr:colOff>708025</xdr:colOff>
      <xdr:row>57</xdr:row>
      <xdr:rowOff>38100</xdr:rowOff>
    </xdr:to>
    <xdr:sp macro="" textlink="">
      <xdr:nvSpPr>
        <xdr:cNvPr id="40" name="Rectangle 21">
          <a:extLst>
            <a:ext uri="{FF2B5EF4-FFF2-40B4-BE49-F238E27FC236}">
              <a16:creationId xmlns:a16="http://schemas.microsoft.com/office/drawing/2014/main" id="{B2F48C46-C646-4BF7-B50C-679DE372184D}"/>
            </a:ext>
          </a:extLst>
        </xdr:cNvPr>
        <xdr:cNvSpPr>
          <a:spLocks noChangeArrowheads="1"/>
        </xdr:cNvSpPr>
      </xdr:nvSpPr>
      <xdr:spPr bwMode="auto">
        <a:xfrm>
          <a:off x="1390650" y="8804275"/>
          <a:ext cx="1470025" cy="644525"/>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Cable</a:t>
          </a:r>
          <a:r>
            <a:rPr lang="en-US" sz="1000" b="1" i="0" strike="noStrike" baseline="0">
              <a:solidFill>
                <a:srgbClr val="000000"/>
              </a:solidFill>
              <a:latin typeface="Arial"/>
              <a:cs typeface="Arial"/>
            </a:rPr>
            <a:t> losses,</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Connectors, &amp;</a:t>
          </a:r>
          <a:br>
            <a:rPr lang="en-US" sz="1000" b="1" i="0" strike="noStrike">
              <a:solidFill>
                <a:srgbClr val="000000"/>
              </a:solidFill>
              <a:latin typeface="Arial"/>
              <a:cs typeface="Arial"/>
            </a:rPr>
          </a:br>
          <a:r>
            <a:rPr lang="en-US" sz="1000" b="1" i="0" strike="noStrike">
              <a:solidFill>
                <a:srgbClr val="000000"/>
              </a:solidFill>
              <a:latin typeface="Arial"/>
              <a:cs typeface="Arial"/>
            </a:rPr>
            <a:t>In-Line</a:t>
          </a:r>
          <a:r>
            <a:rPr lang="en-US" sz="1000" b="1" i="0" strike="noStrike" baseline="0">
              <a:solidFill>
                <a:srgbClr val="000000"/>
              </a:solidFill>
              <a:latin typeface="Arial"/>
              <a:cs typeface="Arial"/>
            </a:rPr>
            <a:t> Devices</a:t>
          </a:r>
          <a:endParaRPr lang="en-US" sz="1000" b="1" i="0" strike="noStrike">
            <a:solidFill>
              <a:srgbClr val="000000"/>
            </a:solidFill>
            <a:latin typeface="Arial"/>
            <a:cs typeface="Arial"/>
          </a:endParaRPr>
        </a:p>
      </xdr:txBody>
    </xdr:sp>
    <xdr:clientData/>
  </xdr:twoCellAnchor>
  <xdr:twoCellAnchor>
    <xdr:from>
      <xdr:col>1</xdr:col>
      <xdr:colOff>527050</xdr:colOff>
      <xdr:row>37</xdr:row>
      <xdr:rowOff>117475</xdr:rowOff>
    </xdr:from>
    <xdr:to>
      <xdr:col>3</xdr:col>
      <xdr:colOff>720725</xdr:colOff>
      <xdr:row>41</xdr:row>
      <xdr:rowOff>127000</xdr:rowOff>
    </xdr:to>
    <xdr:sp macro="" textlink="">
      <xdr:nvSpPr>
        <xdr:cNvPr id="41" name="Rectangle 21">
          <a:extLst>
            <a:ext uri="{FF2B5EF4-FFF2-40B4-BE49-F238E27FC236}">
              <a16:creationId xmlns:a16="http://schemas.microsoft.com/office/drawing/2014/main" id="{44FFF257-F24E-43FE-8547-C2D94718421E}"/>
            </a:ext>
          </a:extLst>
        </xdr:cNvPr>
        <xdr:cNvSpPr>
          <a:spLocks noChangeArrowheads="1"/>
        </xdr:cNvSpPr>
      </xdr:nvSpPr>
      <xdr:spPr bwMode="auto">
        <a:xfrm>
          <a:off x="1403350" y="6296025"/>
          <a:ext cx="1470025" cy="644525"/>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Additional</a:t>
          </a:r>
          <a:r>
            <a:rPr lang="en-US" sz="1000" b="1" i="0" strike="noStrike" baseline="0">
              <a:solidFill>
                <a:srgbClr val="000000"/>
              </a:solidFill>
              <a:latin typeface="Arial"/>
              <a:cs typeface="Arial"/>
            </a:rPr>
            <a:t> Front End</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Losses &amp; Devices</a:t>
          </a:r>
          <a:endParaRPr lang="en-US" sz="1000" b="1" i="0" strike="noStrike">
            <a:solidFill>
              <a:srgbClr val="000000"/>
            </a:solidFill>
            <a:latin typeface="Arial"/>
            <a:cs typeface="Arial"/>
          </a:endParaRPr>
        </a:p>
      </xdr:txBody>
    </xdr:sp>
    <xdr:clientData/>
  </xdr:twoCellAnchor>
  <xdr:twoCellAnchor>
    <xdr:from>
      <xdr:col>11</xdr:col>
      <xdr:colOff>0</xdr:colOff>
      <xdr:row>49</xdr:row>
      <xdr:rowOff>127000</xdr:rowOff>
    </xdr:from>
    <xdr:to>
      <xdr:col>11</xdr:col>
      <xdr:colOff>0</xdr:colOff>
      <xdr:row>103</xdr:row>
      <xdr:rowOff>139700</xdr:rowOff>
    </xdr:to>
    <xdr:sp macro="" textlink="">
      <xdr:nvSpPr>
        <xdr:cNvPr id="42" name="Line 10">
          <a:extLst>
            <a:ext uri="{FF2B5EF4-FFF2-40B4-BE49-F238E27FC236}">
              <a16:creationId xmlns:a16="http://schemas.microsoft.com/office/drawing/2014/main" id="{8C77297C-768B-4E75-A678-7BB79411DBCE}"/>
            </a:ext>
          </a:extLst>
        </xdr:cNvPr>
        <xdr:cNvSpPr>
          <a:spLocks noChangeShapeType="1"/>
        </xdr:cNvSpPr>
      </xdr:nvSpPr>
      <xdr:spPr bwMode="auto">
        <a:xfrm flipV="1">
          <a:off x="7169150" y="8261350"/>
          <a:ext cx="0" cy="87376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11</xdr:col>
      <xdr:colOff>0</xdr:colOff>
      <xdr:row>5</xdr:row>
      <xdr:rowOff>0</xdr:rowOff>
    </xdr:from>
    <xdr:to>
      <xdr:col>11</xdr:col>
      <xdr:colOff>0</xdr:colOff>
      <xdr:row>37</xdr:row>
      <xdr:rowOff>154940</xdr:rowOff>
    </xdr:to>
    <xdr:sp macro="" textlink="">
      <xdr:nvSpPr>
        <xdr:cNvPr id="43" name="Line 20">
          <a:extLst>
            <a:ext uri="{FF2B5EF4-FFF2-40B4-BE49-F238E27FC236}">
              <a16:creationId xmlns:a16="http://schemas.microsoft.com/office/drawing/2014/main" id="{017A5EF6-1C93-461A-8F70-534D802DA557}"/>
            </a:ext>
          </a:extLst>
        </xdr:cNvPr>
        <xdr:cNvSpPr>
          <a:spLocks noChangeShapeType="1"/>
        </xdr:cNvSpPr>
      </xdr:nvSpPr>
      <xdr:spPr bwMode="auto">
        <a:xfrm>
          <a:off x="7169150" y="927100"/>
          <a:ext cx="0" cy="540639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219075</xdr:colOff>
      <xdr:row>13</xdr:row>
      <xdr:rowOff>95250</xdr:rowOff>
    </xdr:from>
    <xdr:to>
      <xdr:col>11</xdr:col>
      <xdr:colOff>511111</xdr:colOff>
      <xdr:row>18</xdr:row>
      <xdr:rowOff>79427</xdr:rowOff>
    </xdr:to>
    <xdr:sp macro="" textlink="">
      <xdr:nvSpPr>
        <xdr:cNvPr id="44" name="AutoShape 24">
          <a:extLst>
            <a:ext uri="{FF2B5EF4-FFF2-40B4-BE49-F238E27FC236}">
              <a16:creationId xmlns:a16="http://schemas.microsoft.com/office/drawing/2014/main" id="{94CEB62A-2A30-41B5-B72F-74F225F83792}"/>
            </a:ext>
          </a:extLst>
        </xdr:cNvPr>
        <xdr:cNvSpPr>
          <a:spLocks noChangeArrowheads="1"/>
        </xdr:cNvSpPr>
      </xdr:nvSpPr>
      <xdr:spPr bwMode="auto">
        <a:xfrm rot="10800000">
          <a:off x="6657975" y="2362200"/>
          <a:ext cx="1022286" cy="790627"/>
        </a:xfrm>
        <a:prstGeom prst="triangle">
          <a:avLst>
            <a:gd name="adj" fmla="val 50000"/>
          </a:avLst>
        </a:prstGeom>
        <a:solidFill>
          <a:srgbClr val="99CCFF"/>
        </a:solidFill>
        <a:ln w="19050">
          <a:solidFill>
            <a:srgbClr val="000000"/>
          </a:solidFill>
          <a:miter lim="800000"/>
          <a:headEnd/>
          <a:tailEnd/>
        </a:ln>
      </xdr:spPr>
      <xdr:txBody>
        <a:bodyPr vertOverflow="clip" wrap="square" lIns="27432" tIns="22860" rIns="27432" bIns="0" anchor="b" upright="1"/>
        <a:lstStyle/>
        <a:p>
          <a:pPr algn="ctr" rtl="1">
            <a:defRPr sz="1000"/>
          </a:pPr>
          <a:r>
            <a:rPr lang="en-US" sz="1000" b="1" i="0" strike="noStrike">
              <a:solidFill>
                <a:srgbClr val="000000"/>
              </a:solidFill>
              <a:latin typeface="Arial"/>
              <a:cs typeface="Arial"/>
            </a:rPr>
            <a:t>HPA</a:t>
          </a:r>
        </a:p>
      </xdr:txBody>
    </xdr:sp>
    <xdr:clientData/>
  </xdr:twoCellAnchor>
  <xdr:twoCellAnchor>
    <xdr:from>
      <xdr:col>10</xdr:col>
      <xdr:colOff>0</xdr:colOff>
      <xdr:row>6</xdr:row>
      <xdr:rowOff>47625</xdr:rowOff>
    </xdr:from>
    <xdr:to>
      <xdr:col>12</xdr:col>
      <xdr:colOff>57150</xdr:colOff>
      <xdr:row>10</xdr:row>
      <xdr:rowOff>41275</xdr:rowOff>
    </xdr:to>
    <xdr:sp macro="" textlink="">
      <xdr:nvSpPr>
        <xdr:cNvPr id="45" name="Rectangle 25">
          <a:extLst>
            <a:ext uri="{FF2B5EF4-FFF2-40B4-BE49-F238E27FC236}">
              <a16:creationId xmlns:a16="http://schemas.microsoft.com/office/drawing/2014/main" id="{7E85C0FE-BEA4-49B0-B5A2-D6281B0B78AD}"/>
            </a:ext>
          </a:extLst>
        </xdr:cNvPr>
        <xdr:cNvSpPr>
          <a:spLocks noChangeArrowheads="1"/>
        </xdr:cNvSpPr>
      </xdr:nvSpPr>
      <xdr:spPr bwMode="auto">
        <a:xfrm>
          <a:off x="6438900" y="1139825"/>
          <a:ext cx="1473200" cy="654050"/>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Transmitter</a:t>
          </a:r>
        </a:p>
        <a:p>
          <a:pPr algn="ctr" rtl="1">
            <a:defRPr sz="1000"/>
          </a:pPr>
          <a:r>
            <a:rPr lang="en-US" sz="1000" b="1" i="0" strike="noStrike">
              <a:solidFill>
                <a:srgbClr val="000000"/>
              </a:solidFill>
              <a:latin typeface="Arial"/>
              <a:cs typeface="Arial"/>
            </a:rPr>
            <a:t>Exciter/Modulator/</a:t>
          </a:r>
        </a:p>
        <a:p>
          <a:pPr algn="ctr" rtl="1">
            <a:defRPr sz="1000"/>
          </a:pPr>
          <a:r>
            <a:rPr lang="en-US" sz="1000" b="1" i="0" strike="noStrike">
              <a:solidFill>
                <a:srgbClr val="000000"/>
              </a:solidFill>
              <a:latin typeface="Arial"/>
              <a:cs typeface="Arial"/>
            </a:rPr>
            <a:t>FEC Encoder</a:t>
          </a:r>
        </a:p>
      </xdr:txBody>
    </xdr:sp>
    <xdr:clientData/>
  </xdr:twoCellAnchor>
  <xdr:twoCellAnchor>
    <xdr:from>
      <xdr:col>10</xdr:col>
      <xdr:colOff>12700</xdr:colOff>
      <xdr:row>22</xdr:row>
      <xdr:rowOff>152400</xdr:rowOff>
    </xdr:from>
    <xdr:to>
      <xdr:col>12</xdr:col>
      <xdr:colOff>66675</xdr:colOff>
      <xdr:row>26</xdr:row>
      <xdr:rowOff>161925</xdr:rowOff>
    </xdr:to>
    <xdr:sp macro="" textlink="">
      <xdr:nvSpPr>
        <xdr:cNvPr id="46" name="Rectangle 21">
          <a:extLst>
            <a:ext uri="{FF2B5EF4-FFF2-40B4-BE49-F238E27FC236}">
              <a16:creationId xmlns:a16="http://schemas.microsoft.com/office/drawing/2014/main" id="{1137C5A9-A1FE-49CE-9997-6CA830E122BC}"/>
            </a:ext>
          </a:extLst>
        </xdr:cNvPr>
        <xdr:cNvSpPr>
          <a:spLocks noChangeArrowheads="1"/>
        </xdr:cNvSpPr>
      </xdr:nvSpPr>
      <xdr:spPr bwMode="auto">
        <a:xfrm>
          <a:off x="6451600" y="3860800"/>
          <a:ext cx="1470025" cy="638175"/>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Cable</a:t>
          </a:r>
          <a:r>
            <a:rPr lang="en-US" sz="1000" b="1" i="0" strike="noStrike" baseline="0">
              <a:solidFill>
                <a:srgbClr val="000000"/>
              </a:solidFill>
              <a:latin typeface="Arial"/>
              <a:cs typeface="Arial"/>
            </a:rPr>
            <a:t> losses,</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Connectors, &amp;</a:t>
          </a:r>
          <a:br>
            <a:rPr lang="en-US" sz="1000" b="1" i="0" strike="noStrike">
              <a:solidFill>
                <a:srgbClr val="000000"/>
              </a:solidFill>
              <a:latin typeface="Arial"/>
              <a:cs typeface="Arial"/>
            </a:rPr>
          </a:br>
          <a:r>
            <a:rPr lang="en-US" sz="1000" b="1" i="0" strike="noStrike">
              <a:solidFill>
                <a:srgbClr val="000000"/>
              </a:solidFill>
              <a:latin typeface="Arial"/>
              <a:cs typeface="Arial"/>
            </a:rPr>
            <a:t>In-Line</a:t>
          </a:r>
          <a:r>
            <a:rPr lang="en-US" sz="1000" b="1" i="0" strike="noStrike" baseline="0">
              <a:solidFill>
                <a:srgbClr val="000000"/>
              </a:solidFill>
              <a:latin typeface="Arial"/>
              <a:cs typeface="Arial"/>
            </a:rPr>
            <a:t> Devices</a:t>
          </a:r>
          <a:endParaRPr lang="en-US" sz="1000" b="1" i="0" strike="noStrike">
            <a:solidFill>
              <a:srgbClr val="000000"/>
            </a:solidFill>
            <a:latin typeface="Arial"/>
            <a:cs typeface="Arial"/>
          </a:endParaRPr>
        </a:p>
      </xdr:txBody>
    </xdr:sp>
    <xdr:clientData/>
  </xdr:twoCellAnchor>
  <xdr:twoCellAnchor>
    <xdr:from>
      <xdr:col>10</xdr:col>
      <xdr:colOff>44450</xdr:colOff>
      <xdr:row>98</xdr:row>
      <xdr:rowOff>82550</xdr:rowOff>
    </xdr:from>
    <xdr:to>
      <xdr:col>12</xdr:col>
      <xdr:colOff>19050</xdr:colOff>
      <xdr:row>101</xdr:row>
      <xdr:rowOff>139700</xdr:rowOff>
    </xdr:to>
    <xdr:sp macro="" textlink="">
      <xdr:nvSpPr>
        <xdr:cNvPr id="47" name="Rectangle 1">
          <a:extLst>
            <a:ext uri="{FF2B5EF4-FFF2-40B4-BE49-F238E27FC236}">
              <a16:creationId xmlns:a16="http://schemas.microsoft.com/office/drawing/2014/main" id="{82A711AB-3185-4F01-BD22-8981D1CB5D41}"/>
            </a:ext>
          </a:extLst>
        </xdr:cNvPr>
        <xdr:cNvSpPr>
          <a:spLocks noChangeArrowheads="1"/>
        </xdr:cNvSpPr>
      </xdr:nvSpPr>
      <xdr:spPr bwMode="auto">
        <a:xfrm>
          <a:off x="6483350" y="16148050"/>
          <a:ext cx="1390650" cy="533400"/>
        </a:xfrm>
        <a:prstGeom prst="rect">
          <a:avLst/>
        </a:prstGeom>
        <a:solidFill>
          <a:srgbClr val="99CCFF"/>
        </a:solidFill>
        <a:ln w="19050">
          <a:solidFill>
            <a:srgbClr val="000000"/>
          </a:solidFill>
          <a:miter lim="800000"/>
          <a:headEnd/>
          <a:tailEnd/>
        </a:ln>
      </xdr:spPr>
      <xdr:txBody>
        <a:bodyPr anchor="ctr"/>
        <a:lstStyle/>
        <a:p>
          <a:pPr algn="ctr"/>
          <a:r>
            <a:rPr lang="en-US" sz="1000" b="1">
              <a:latin typeface="Arial" panose="020B0604020202020204" pitchFamily="34" charset="0"/>
              <a:cs typeface="Arial" panose="020B0604020202020204" pitchFamily="34" charset="0"/>
            </a:rPr>
            <a:t>Data FEC Decoder</a:t>
          </a:r>
        </a:p>
      </xdr:txBody>
    </xdr:sp>
    <xdr:clientData/>
  </xdr:twoCellAnchor>
  <xdr:twoCellAnchor>
    <xdr:from>
      <xdr:col>10</xdr:col>
      <xdr:colOff>95250</xdr:colOff>
      <xdr:row>92</xdr:row>
      <xdr:rowOff>19050</xdr:rowOff>
    </xdr:from>
    <xdr:to>
      <xdr:col>11</xdr:col>
      <xdr:colOff>641350</xdr:colOff>
      <xdr:row>96</xdr:row>
      <xdr:rowOff>19050</xdr:rowOff>
    </xdr:to>
    <xdr:sp macro="" textlink="">
      <xdr:nvSpPr>
        <xdr:cNvPr id="48" name="Rectangle 2">
          <a:extLst>
            <a:ext uri="{FF2B5EF4-FFF2-40B4-BE49-F238E27FC236}">
              <a16:creationId xmlns:a16="http://schemas.microsoft.com/office/drawing/2014/main" id="{D64B4DFF-8526-4CD3-A148-31B71A831BFF}"/>
            </a:ext>
          </a:extLst>
        </xdr:cNvPr>
        <xdr:cNvSpPr>
          <a:spLocks noChangeArrowheads="1"/>
        </xdr:cNvSpPr>
      </xdr:nvSpPr>
      <xdr:spPr bwMode="auto">
        <a:xfrm>
          <a:off x="6534150" y="15132050"/>
          <a:ext cx="1276350" cy="635000"/>
        </a:xfrm>
        <a:prstGeom prst="rect">
          <a:avLst/>
        </a:prstGeom>
        <a:solidFill>
          <a:srgbClr val="99CCFF"/>
        </a:solidFill>
        <a:ln w="19050">
          <a:solidFill>
            <a:srgbClr val="000000"/>
          </a:solidFill>
          <a:miter lim="800000"/>
          <a:headEnd/>
          <a:tailEnd/>
        </a:ln>
      </xdr:spPr>
      <xdr:txBody>
        <a:bodyPr anchor="ctr"/>
        <a:lstStyle/>
        <a:p>
          <a:pPr algn="ctr"/>
          <a:r>
            <a:rPr lang="en-US" sz="1000" b="1">
              <a:latin typeface="Arial" panose="020B0604020202020204" pitchFamily="34" charset="0"/>
              <a:cs typeface="Arial" panose="020B0604020202020204" pitchFamily="34" charset="0"/>
            </a:rPr>
            <a:t>Data Demodulator</a:t>
          </a:r>
        </a:p>
      </xdr:txBody>
    </xdr:sp>
    <xdr:clientData/>
  </xdr:twoCellAnchor>
  <xdr:twoCellAnchor>
    <xdr:from>
      <xdr:col>10</xdr:col>
      <xdr:colOff>92075</xdr:colOff>
      <xdr:row>85</xdr:row>
      <xdr:rowOff>142875</xdr:rowOff>
    </xdr:from>
    <xdr:to>
      <xdr:col>11</xdr:col>
      <xdr:colOff>644578</xdr:colOff>
      <xdr:row>89</xdr:row>
      <xdr:rowOff>142875</xdr:rowOff>
    </xdr:to>
    <xdr:sp macro="" textlink="">
      <xdr:nvSpPr>
        <xdr:cNvPr id="49" name="Rectangle 3">
          <a:extLst>
            <a:ext uri="{FF2B5EF4-FFF2-40B4-BE49-F238E27FC236}">
              <a16:creationId xmlns:a16="http://schemas.microsoft.com/office/drawing/2014/main" id="{6784ED3C-9FF3-472F-8F5B-E1FD2D4823F9}"/>
            </a:ext>
          </a:extLst>
        </xdr:cNvPr>
        <xdr:cNvSpPr>
          <a:spLocks noChangeArrowheads="1"/>
        </xdr:cNvSpPr>
      </xdr:nvSpPr>
      <xdr:spPr bwMode="auto">
        <a:xfrm>
          <a:off x="6530975" y="14106525"/>
          <a:ext cx="1282753" cy="673100"/>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Data</a:t>
          </a:r>
          <a:r>
            <a:rPr lang="en-US" sz="1000" b="1" i="0" strike="noStrike" baseline="0">
              <a:solidFill>
                <a:srgbClr val="000000"/>
              </a:solidFill>
              <a:latin typeface="Arial"/>
              <a:cs typeface="Arial"/>
            </a:rPr>
            <a:t> Bandpass Filter</a:t>
          </a:r>
          <a:endParaRPr lang="en-US" sz="1000" b="1" i="0" strike="noStrike">
            <a:solidFill>
              <a:srgbClr val="000000"/>
            </a:solidFill>
            <a:latin typeface="Arial"/>
            <a:cs typeface="Arial"/>
          </a:endParaRPr>
        </a:p>
      </xdr:txBody>
    </xdr:sp>
    <xdr:clientData/>
  </xdr:twoCellAnchor>
  <xdr:twoCellAnchor>
    <xdr:from>
      <xdr:col>10</xdr:col>
      <xdr:colOff>219075</xdr:colOff>
      <xdr:row>66</xdr:row>
      <xdr:rowOff>63500</xdr:rowOff>
    </xdr:from>
    <xdr:to>
      <xdr:col>11</xdr:col>
      <xdr:colOff>511111</xdr:colOff>
      <xdr:row>71</xdr:row>
      <xdr:rowOff>50817</xdr:rowOff>
    </xdr:to>
    <xdr:sp macro="" textlink="">
      <xdr:nvSpPr>
        <xdr:cNvPr id="50" name="AutoShape 5">
          <a:extLst>
            <a:ext uri="{FF2B5EF4-FFF2-40B4-BE49-F238E27FC236}">
              <a16:creationId xmlns:a16="http://schemas.microsoft.com/office/drawing/2014/main" id="{B046D9FA-F93D-4B69-A127-42882C89A1F0}"/>
            </a:ext>
          </a:extLst>
        </xdr:cNvPr>
        <xdr:cNvSpPr>
          <a:spLocks noChangeArrowheads="1"/>
        </xdr:cNvSpPr>
      </xdr:nvSpPr>
      <xdr:spPr bwMode="auto">
        <a:xfrm rot="10800000">
          <a:off x="6657975" y="10909300"/>
          <a:ext cx="1022286" cy="819167"/>
        </a:xfrm>
        <a:prstGeom prst="triangle">
          <a:avLst>
            <a:gd name="adj" fmla="val 50000"/>
          </a:avLst>
        </a:prstGeom>
        <a:solidFill>
          <a:srgbClr val="99CCFF"/>
        </a:solidFill>
        <a:ln w="19050">
          <a:solidFill>
            <a:srgbClr val="000000"/>
          </a:solidFill>
          <a:miter lim="800000"/>
          <a:headEnd/>
          <a:tailEnd/>
        </a:ln>
      </xdr:spPr>
      <xdr:txBody>
        <a:bodyPr vertOverflow="clip" wrap="square" lIns="27432" tIns="22860" rIns="27432" bIns="0" anchor="b" upright="1"/>
        <a:lstStyle/>
        <a:p>
          <a:pPr algn="ctr" rtl="1">
            <a:defRPr sz="1000"/>
          </a:pPr>
          <a:r>
            <a:rPr lang="en-US" sz="1000" b="1" i="0" strike="noStrike">
              <a:solidFill>
                <a:srgbClr val="000000"/>
              </a:solidFill>
              <a:latin typeface="Arial"/>
              <a:cs typeface="Arial"/>
            </a:rPr>
            <a:t>LNA</a:t>
          </a:r>
        </a:p>
      </xdr:txBody>
    </xdr:sp>
    <xdr:clientData/>
  </xdr:twoCellAnchor>
  <xdr:twoCellAnchor>
    <xdr:from>
      <xdr:col>10</xdr:col>
      <xdr:colOff>101600</xdr:colOff>
      <xdr:row>79</xdr:row>
      <xdr:rowOff>130175</xdr:rowOff>
    </xdr:from>
    <xdr:to>
      <xdr:col>11</xdr:col>
      <xdr:colOff>647017</xdr:colOff>
      <xdr:row>83</xdr:row>
      <xdr:rowOff>136525</xdr:rowOff>
    </xdr:to>
    <xdr:sp macro="" textlink="">
      <xdr:nvSpPr>
        <xdr:cNvPr id="51" name="Rectangle 6">
          <a:extLst>
            <a:ext uri="{FF2B5EF4-FFF2-40B4-BE49-F238E27FC236}">
              <a16:creationId xmlns:a16="http://schemas.microsoft.com/office/drawing/2014/main" id="{18E63045-66C6-4397-BDDF-ED376224A365}"/>
            </a:ext>
          </a:extLst>
        </xdr:cNvPr>
        <xdr:cNvSpPr>
          <a:spLocks noChangeArrowheads="1"/>
        </xdr:cNvSpPr>
      </xdr:nvSpPr>
      <xdr:spPr bwMode="auto">
        <a:xfrm>
          <a:off x="6540500" y="13090525"/>
          <a:ext cx="1275667" cy="692150"/>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Receiver's</a:t>
          </a:r>
          <a:r>
            <a:rPr lang="en-US" sz="1000" b="1" i="0" strike="noStrike" baseline="0">
              <a:solidFill>
                <a:srgbClr val="000000"/>
              </a:solidFill>
              <a:latin typeface="Arial"/>
              <a:cs typeface="Arial"/>
            </a:rPr>
            <a:t> IF Downconvert</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&amp; Amp.</a:t>
          </a:r>
          <a:endParaRPr lang="en-US" sz="1000" b="1" i="0" strike="noStrike">
            <a:solidFill>
              <a:srgbClr val="000000"/>
            </a:solidFill>
            <a:latin typeface="Arial"/>
            <a:cs typeface="Arial"/>
          </a:endParaRPr>
        </a:p>
      </xdr:txBody>
    </xdr:sp>
    <xdr:clientData/>
  </xdr:twoCellAnchor>
  <xdr:twoCellAnchor>
    <xdr:from>
      <xdr:col>10</xdr:col>
      <xdr:colOff>0</xdr:colOff>
      <xdr:row>57</xdr:row>
      <xdr:rowOff>98425</xdr:rowOff>
    </xdr:from>
    <xdr:to>
      <xdr:col>12</xdr:col>
      <xdr:colOff>53975</xdr:colOff>
      <xdr:row>61</xdr:row>
      <xdr:rowOff>107950</xdr:rowOff>
    </xdr:to>
    <xdr:sp macro="" textlink="">
      <xdr:nvSpPr>
        <xdr:cNvPr id="52" name="Rectangle 21">
          <a:extLst>
            <a:ext uri="{FF2B5EF4-FFF2-40B4-BE49-F238E27FC236}">
              <a16:creationId xmlns:a16="http://schemas.microsoft.com/office/drawing/2014/main" id="{5665553C-02D6-4FFF-A941-8E897A003C83}"/>
            </a:ext>
          </a:extLst>
        </xdr:cNvPr>
        <xdr:cNvSpPr>
          <a:spLocks noChangeArrowheads="1"/>
        </xdr:cNvSpPr>
      </xdr:nvSpPr>
      <xdr:spPr bwMode="auto">
        <a:xfrm>
          <a:off x="6438900" y="9509125"/>
          <a:ext cx="1470025" cy="644525"/>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Cable</a:t>
          </a:r>
          <a:r>
            <a:rPr lang="en-US" sz="1000" b="1" i="0" strike="noStrike" baseline="0">
              <a:solidFill>
                <a:srgbClr val="000000"/>
              </a:solidFill>
              <a:latin typeface="Arial"/>
              <a:cs typeface="Arial"/>
            </a:rPr>
            <a:t> losses,</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Connectors, &amp;</a:t>
          </a:r>
          <a:br>
            <a:rPr lang="en-US" sz="1000" b="1" i="0" strike="noStrike">
              <a:solidFill>
                <a:srgbClr val="000000"/>
              </a:solidFill>
              <a:latin typeface="Arial"/>
              <a:cs typeface="Arial"/>
            </a:rPr>
          </a:br>
          <a:r>
            <a:rPr lang="en-US" sz="1000" b="1" i="0" strike="noStrike">
              <a:solidFill>
                <a:srgbClr val="000000"/>
              </a:solidFill>
              <a:latin typeface="Arial"/>
              <a:cs typeface="Arial"/>
            </a:rPr>
            <a:t>In-Line</a:t>
          </a:r>
          <a:r>
            <a:rPr lang="en-US" sz="1000" b="1" i="0" strike="noStrike" baseline="0">
              <a:solidFill>
                <a:srgbClr val="000000"/>
              </a:solidFill>
              <a:latin typeface="Arial"/>
              <a:cs typeface="Arial"/>
            </a:rPr>
            <a:t> Devices</a:t>
          </a:r>
          <a:endParaRPr lang="en-US" sz="1000" b="1" i="0" strike="noStrike">
            <a:solidFill>
              <a:srgbClr val="000000"/>
            </a:solidFill>
            <a:latin typeface="Arial"/>
            <a:cs typeface="Arial"/>
          </a:endParaRPr>
        </a:p>
      </xdr:txBody>
    </xdr:sp>
    <xdr:clientData/>
  </xdr:twoCellAnchor>
  <xdr:twoCellAnchor>
    <xdr:from>
      <xdr:col>10</xdr:col>
      <xdr:colOff>12700</xdr:colOff>
      <xdr:row>73</xdr:row>
      <xdr:rowOff>41275</xdr:rowOff>
    </xdr:from>
    <xdr:to>
      <xdr:col>12</xdr:col>
      <xdr:colOff>66675</xdr:colOff>
      <xdr:row>77</xdr:row>
      <xdr:rowOff>50800</xdr:rowOff>
    </xdr:to>
    <xdr:sp macro="" textlink="">
      <xdr:nvSpPr>
        <xdr:cNvPr id="53" name="Rectangle 21">
          <a:extLst>
            <a:ext uri="{FF2B5EF4-FFF2-40B4-BE49-F238E27FC236}">
              <a16:creationId xmlns:a16="http://schemas.microsoft.com/office/drawing/2014/main" id="{65E963CE-CADC-4ED7-9505-2D346AB05953}"/>
            </a:ext>
          </a:extLst>
        </xdr:cNvPr>
        <xdr:cNvSpPr>
          <a:spLocks noChangeArrowheads="1"/>
        </xdr:cNvSpPr>
      </xdr:nvSpPr>
      <xdr:spPr bwMode="auto">
        <a:xfrm>
          <a:off x="6451600" y="12042775"/>
          <a:ext cx="1470025" cy="650875"/>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Additional</a:t>
          </a:r>
          <a:r>
            <a:rPr lang="en-US" sz="1000" b="1" i="0" strike="noStrike" baseline="0">
              <a:solidFill>
                <a:srgbClr val="000000"/>
              </a:solidFill>
              <a:latin typeface="Arial"/>
              <a:cs typeface="Arial"/>
            </a:rPr>
            <a:t> Front End</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Losses &amp; Devices</a:t>
          </a:r>
          <a:endParaRPr lang="en-US" sz="1000" b="1" i="0" strike="noStrike">
            <a:solidFill>
              <a:srgbClr val="000000"/>
            </a:solidFill>
            <a:latin typeface="Arial"/>
            <a:cs typeface="Arial"/>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5</xdr:col>
      <xdr:colOff>0</xdr:colOff>
      <xdr:row>96</xdr:row>
      <xdr:rowOff>0</xdr:rowOff>
    </xdr:from>
    <xdr:to>
      <xdr:col>19</xdr:col>
      <xdr:colOff>603250</xdr:colOff>
      <xdr:row>133</xdr:row>
      <xdr:rowOff>50800</xdr:rowOff>
    </xdr:to>
    <xdr:graphicFrame macro="">
      <xdr:nvGraphicFramePr>
        <xdr:cNvPr id="468214" name="Chart 1">
          <a:extLst>
            <a:ext uri="{FF2B5EF4-FFF2-40B4-BE49-F238E27FC236}">
              <a16:creationId xmlns:a16="http://schemas.microsoft.com/office/drawing/2014/main" id="{A9F99232-AC36-46D1-B7D0-67EB80C255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12700</xdr:colOff>
      <xdr:row>48</xdr:row>
      <xdr:rowOff>12700</xdr:rowOff>
    </xdr:from>
    <xdr:to>
      <xdr:col>21</xdr:col>
      <xdr:colOff>12700</xdr:colOff>
      <xdr:row>80</xdr:row>
      <xdr:rowOff>0</xdr:rowOff>
    </xdr:to>
    <xdr:pic>
      <xdr:nvPicPr>
        <xdr:cNvPr id="468215" name="Picture 8">
          <a:extLst>
            <a:ext uri="{FF2B5EF4-FFF2-40B4-BE49-F238E27FC236}">
              <a16:creationId xmlns:a16="http://schemas.microsoft.com/office/drawing/2014/main" id="{54BB00A8-5ABE-496B-BF80-6956C666E38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648450" y="7734300"/>
          <a:ext cx="9855200" cy="5067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twoCellAnchor>
  <xdr:twoCellAnchor editAs="oneCell">
    <xdr:from>
      <xdr:col>5</xdr:col>
      <xdr:colOff>12700</xdr:colOff>
      <xdr:row>6</xdr:row>
      <xdr:rowOff>146050</xdr:rowOff>
    </xdr:from>
    <xdr:to>
      <xdr:col>18</xdr:col>
      <xdr:colOff>349250</xdr:colOff>
      <xdr:row>34</xdr:row>
      <xdr:rowOff>82550</xdr:rowOff>
    </xdr:to>
    <xdr:pic>
      <xdr:nvPicPr>
        <xdr:cNvPr id="468216" name="Picture 9">
          <a:extLst>
            <a:ext uri="{FF2B5EF4-FFF2-40B4-BE49-F238E27FC236}">
              <a16:creationId xmlns:a16="http://schemas.microsoft.com/office/drawing/2014/main" id="{E932FA45-7E4E-48CD-B283-526EF8FE2C8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648450" y="1187450"/>
          <a:ext cx="8343900" cy="4387850"/>
        </a:xfrm>
        <a:prstGeom prst="rect">
          <a:avLst/>
        </a:prstGeom>
        <a:solidFill>
          <a:srgbClr val="C0C0C0"/>
        </a:solidFill>
        <a:ln>
          <a:noFill/>
        </a:ln>
        <a:extLst>
          <a:ext uri="{91240B29-F687-4F45-9708-019B960494DF}">
            <a14:hiddenLine xmlns:a14="http://schemas.microsoft.com/office/drawing/2010/main" w="1">
              <a:solidFill>
                <a:srgbClr val="000000"/>
              </a:solidFill>
              <a:miter lim="800000"/>
              <a:headEnd/>
              <a:tailEnd/>
            </a14:hiddenLine>
          </a:ext>
        </a:extLst>
      </xdr:spPr>
    </xdr:pic>
    <xdr:clientData/>
  </xdr:twoCellAnchor>
  <xdr:twoCellAnchor>
    <xdr:from>
      <xdr:col>5</xdr:col>
      <xdr:colOff>234950</xdr:colOff>
      <xdr:row>173</xdr:row>
      <xdr:rowOff>0</xdr:rowOff>
    </xdr:from>
    <xdr:to>
      <xdr:col>12</xdr:col>
      <xdr:colOff>0</xdr:colOff>
      <xdr:row>199</xdr:row>
      <xdr:rowOff>146050</xdr:rowOff>
    </xdr:to>
    <xdr:pic>
      <xdr:nvPicPr>
        <xdr:cNvPr id="468217" name="Picture 10">
          <a:extLst>
            <a:ext uri="{FF2B5EF4-FFF2-40B4-BE49-F238E27FC236}">
              <a16:creationId xmlns:a16="http://schemas.microsoft.com/office/drawing/2014/main" id="{2EB91A2A-0724-4260-A99C-D6B282FD1CC4}"/>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6870700" y="27730450"/>
          <a:ext cx="4076700" cy="4273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8</xdr:col>
      <xdr:colOff>533400</xdr:colOff>
      <xdr:row>178</xdr:row>
      <xdr:rowOff>107950</xdr:rowOff>
    </xdr:from>
    <xdr:ext cx="421970" cy="207749"/>
    <xdr:sp macro="" textlink="">
      <xdr:nvSpPr>
        <xdr:cNvPr id="11275" name="Text Box 11">
          <a:extLst>
            <a:ext uri="{FF2B5EF4-FFF2-40B4-BE49-F238E27FC236}">
              <a16:creationId xmlns:a16="http://schemas.microsoft.com/office/drawing/2014/main" id="{4A35A6B4-7127-4254-8976-6F685D4D0055}"/>
            </a:ext>
          </a:extLst>
        </xdr:cNvPr>
        <xdr:cNvSpPr txBox="1">
          <a:spLocks noChangeArrowheads="1"/>
        </xdr:cNvSpPr>
      </xdr:nvSpPr>
      <xdr:spPr bwMode="auto">
        <a:xfrm>
          <a:off x="9872133" y="27457400"/>
          <a:ext cx="369224" cy="207749"/>
        </a:xfrm>
        <a:prstGeom prst="rect">
          <a:avLst/>
        </a:prstGeom>
        <a:solidFill>
          <a:srgbClr val="FFFFFF"/>
        </a:solidFill>
        <a:ln w="9525">
          <a:noFill/>
          <a:miter lim="800000"/>
          <a:headEnd/>
          <a:tailEnd/>
        </a:ln>
      </xdr:spPr>
      <xdr:txBody>
        <a:bodyPr wrap="none" lIns="18288" tIns="22860" rIns="0" bIns="0" anchor="t" upright="1">
          <a:spAutoFit/>
        </a:bodyPr>
        <a:lstStyle/>
        <a:p>
          <a:pPr algn="l" rtl="1">
            <a:defRPr sz="1000"/>
          </a:pPr>
          <a:r>
            <a:rPr lang="en-US" sz="1200" b="0" i="0" strike="noStrike">
              <a:solidFill>
                <a:srgbClr val="000000"/>
              </a:solidFill>
              <a:latin typeface="Arial"/>
              <a:cs typeface="Arial"/>
            </a:rPr>
            <a:t>0 dBi</a:t>
          </a:r>
        </a:p>
      </xdr:txBody>
    </xdr:sp>
    <xdr:clientData/>
  </xdr:oneCellAnchor>
  <xdr:twoCellAnchor>
    <xdr:from>
      <xdr:col>5</xdr:col>
      <xdr:colOff>12700</xdr:colOff>
      <xdr:row>213</xdr:row>
      <xdr:rowOff>12700</xdr:rowOff>
    </xdr:from>
    <xdr:to>
      <xdr:col>16</xdr:col>
      <xdr:colOff>311150</xdr:colOff>
      <xdr:row>248</xdr:row>
      <xdr:rowOff>12700</xdr:rowOff>
    </xdr:to>
    <xdr:graphicFrame macro="">
      <xdr:nvGraphicFramePr>
        <xdr:cNvPr id="468219" name="Chart 13">
          <a:extLst>
            <a:ext uri="{FF2B5EF4-FFF2-40B4-BE49-F238E27FC236}">
              <a16:creationId xmlns:a16="http://schemas.microsoft.com/office/drawing/2014/main" id="{D51D3458-6081-4A9E-B2E8-4E5D911402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254000</xdr:colOff>
      <xdr:row>227</xdr:row>
      <xdr:rowOff>120650</xdr:rowOff>
    </xdr:from>
    <xdr:to>
      <xdr:col>9</xdr:col>
      <xdr:colOff>571500</xdr:colOff>
      <xdr:row>233</xdr:row>
      <xdr:rowOff>82550</xdr:rowOff>
    </xdr:to>
    <xdr:sp macro="" textlink="">
      <xdr:nvSpPr>
        <xdr:cNvPr id="468220" name="Line 14">
          <a:extLst>
            <a:ext uri="{FF2B5EF4-FFF2-40B4-BE49-F238E27FC236}">
              <a16:creationId xmlns:a16="http://schemas.microsoft.com/office/drawing/2014/main" id="{6DD5DAAF-3C1B-42B2-AC11-026B4AE138F9}"/>
            </a:ext>
          </a:extLst>
        </xdr:cNvPr>
        <xdr:cNvSpPr>
          <a:spLocks noChangeShapeType="1"/>
        </xdr:cNvSpPr>
      </xdr:nvSpPr>
      <xdr:spPr bwMode="auto">
        <a:xfrm flipH="1" flipV="1">
          <a:off x="8121650" y="36429950"/>
          <a:ext cx="1549400" cy="914400"/>
        </a:xfrm>
        <a:prstGeom prst="line">
          <a:avLst/>
        </a:prstGeom>
        <a:noFill/>
        <a:ln w="19050">
          <a:solidFill>
            <a:srgbClr val="FF00FF"/>
          </a:solidFill>
          <a:round/>
          <a:headEnd/>
          <a:tailEnd/>
        </a:ln>
        <a:extLst>
          <a:ext uri="{909E8E84-426E-40DD-AFC4-6F175D3DCCD1}">
            <a14:hiddenFill xmlns:a14="http://schemas.microsoft.com/office/drawing/2010/main">
              <a:noFill/>
            </a14:hiddenFill>
          </a:ext>
        </a:extLst>
      </xdr:spPr>
    </xdr:sp>
    <xdr:clientData/>
  </xdr:twoCellAnchor>
  <xdr:twoCellAnchor>
    <xdr:from>
      <xdr:col>9</xdr:col>
      <xdr:colOff>571500</xdr:colOff>
      <xdr:row>227</xdr:row>
      <xdr:rowOff>120650</xdr:rowOff>
    </xdr:from>
    <xdr:to>
      <xdr:col>12</xdr:col>
      <xdr:colOff>292100</xdr:colOff>
      <xdr:row>233</xdr:row>
      <xdr:rowOff>82550</xdr:rowOff>
    </xdr:to>
    <xdr:sp macro="" textlink="">
      <xdr:nvSpPr>
        <xdr:cNvPr id="468221" name="Line 15">
          <a:extLst>
            <a:ext uri="{FF2B5EF4-FFF2-40B4-BE49-F238E27FC236}">
              <a16:creationId xmlns:a16="http://schemas.microsoft.com/office/drawing/2014/main" id="{6C939723-876B-4E6B-A988-8D799D8893FE}"/>
            </a:ext>
          </a:extLst>
        </xdr:cNvPr>
        <xdr:cNvSpPr>
          <a:spLocks noChangeShapeType="1"/>
        </xdr:cNvSpPr>
      </xdr:nvSpPr>
      <xdr:spPr bwMode="auto">
        <a:xfrm flipV="1">
          <a:off x="9671050" y="36429950"/>
          <a:ext cx="1568450" cy="914400"/>
        </a:xfrm>
        <a:prstGeom prst="line">
          <a:avLst/>
        </a:prstGeom>
        <a:noFill/>
        <a:ln w="19050">
          <a:solidFill>
            <a:srgbClr val="FF00FF"/>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165100</xdr:colOff>
      <xdr:row>186</xdr:row>
      <xdr:rowOff>63500</xdr:rowOff>
    </xdr:from>
    <xdr:to>
      <xdr:col>8</xdr:col>
      <xdr:colOff>431800</xdr:colOff>
      <xdr:row>186</xdr:row>
      <xdr:rowOff>146050</xdr:rowOff>
    </xdr:to>
    <xdr:sp macro="" textlink="">
      <xdr:nvSpPr>
        <xdr:cNvPr id="468222" name="Line 16">
          <a:extLst>
            <a:ext uri="{FF2B5EF4-FFF2-40B4-BE49-F238E27FC236}">
              <a16:creationId xmlns:a16="http://schemas.microsoft.com/office/drawing/2014/main" id="{987A640B-1C33-44E4-A95C-F875B347AABC}"/>
            </a:ext>
          </a:extLst>
        </xdr:cNvPr>
        <xdr:cNvSpPr>
          <a:spLocks noChangeShapeType="1"/>
        </xdr:cNvSpPr>
      </xdr:nvSpPr>
      <xdr:spPr bwMode="auto">
        <a:xfrm flipH="1" flipV="1">
          <a:off x="6800850" y="29857700"/>
          <a:ext cx="2114550" cy="82550"/>
        </a:xfrm>
        <a:prstGeom prst="line">
          <a:avLst/>
        </a:prstGeom>
        <a:noFill/>
        <a:ln w="19050">
          <a:solidFill>
            <a:srgbClr val="FF00FF"/>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431800</xdr:colOff>
      <xdr:row>186</xdr:row>
      <xdr:rowOff>0</xdr:rowOff>
    </xdr:from>
    <xdr:to>
      <xdr:col>12</xdr:col>
      <xdr:colOff>69850</xdr:colOff>
      <xdr:row>186</xdr:row>
      <xdr:rowOff>146050</xdr:rowOff>
    </xdr:to>
    <xdr:sp macro="" textlink="">
      <xdr:nvSpPr>
        <xdr:cNvPr id="468223" name="Line 17">
          <a:extLst>
            <a:ext uri="{FF2B5EF4-FFF2-40B4-BE49-F238E27FC236}">
              <a16:creationId xmlns:a16="http://schemas.microsoft.com/office/drawing/2014/main" id="{570EB3E4-D3AA-42B8-9089-822ADF56E36A}"/>
            </a:ext>
          </a:extLst>
        </xdr:cNvPr>
        <xdr:cNvSpPr>
          <a:spLocks noChangeShapeType="1"/>
        </xdr:cNvSpPr>
      </xdr:nvSpPr>
      <xdr:spPr bwMode="auto">
        <a:xfrm flipV="1">
          <a:off x="8915400" y="29794200"/>
          <a:ext cx="2101850" cy="146050"/>
        </a:xfrm>
        <a:prstGeom prst="line">
          <a:avLst/>
        </a:prstGeom>
        <a:noFill/>
        <a:ln w="19050">
          <a:solidFill>
            <a:srgbClr val="FF00FF"/>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520700</xdr:colOff>
      <xdr:row>179</xdr:row>
      <xdr:rowOff>63500</xdr:rowOff>
    </xdr:from>
    <xdr:to>
      <xdr:col>10</xdr:col>
      <xdr:colOff>336550</xdr:colOff>
      <xdr:row>194</xdr:row>
      <xdr:rowOff>95250</xdr:rowOff>
    </xdr:to>
    <xdr:sp macro="" textlink="">
      <xdr:nvSpPr>
        <xdr:cNvPr id="468224" name="Oval 18">
          <a:extLst>
            <a:ext uri="{FF2B5EF4-FFF2-40B4-BE49-F238E27FC236}">
              <a16:creationId xmlns:a16="http://schemas.microsoft.com/office/drawing/2014/main" id="{CF42AFA1-12E4-476D-BD71-4E9EEB51F7E8}"/>
            </a:ext>
          </a:extLst>
        </xdr:cNvPr>
        <xdr:cNvSpPr>
          <a:spLocks noChangeArrowheads="1"/>
        </xdr:cNvSpPr>
      </xdr:nvSpPr>
      <xdr:spPr bwMode="auto">
        <a:xfrm>
          <a:off x="7772400" y="28746450"/>
          <a:ext cx="2279650" cy="2413000"/>
        </a:xfrm>
        <a:prstGeom prst="ellipse">
          <a:avLst/>
        </a:prstGeom>
        <a:noFill/>
        <a:ln w="9525">
          <a:solidFill>
            <a:srgbClr val="00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7</xdr:col>
      <xdr:colOff>603250</xdr:colOff>
      <xdr:row>224</xdr:row>
      <xdr:rowOff>120650</xdr:rowOff>
    </xdr:from>
    <xdr:to>
      <xdr:col>11</xdr:col>
      <xdr:colOff>571500</xdr:colOff>
      <xdr:row>242</xdr:row>
      <xdr:rowOff>38100</xdr:rowOff>
    </xdr:to>
    <xdr:sp macro="" textlink="">
      <xdr:nvSpPr>
        <xdr:cNvPr id="468225" name="Oval 19">
          <a:extLst>
            <a:ext uri="{FF2B5EF4-FFF2-40B4-BE49-F238E27FC236}">
              <a16:creationId xmlns:a16="http://schemas.microsoft.com/office/drawing/2014/main" id="{2D1D3DCA-B8F8-48DE-99CE-5C792F302DE5}"/>
            </a:ext>
          </a:extLst>
        </xdr:cNvPr>
        <xdr:cNvSpPr>
          <a:spLocks noChangeArrowheads="1"/>
        </xdr:cNvSpPr>
      </xdr:nvSpPr>
      <xdr:spPr bwMode="auto">
        <a:xfrm>
          <a:off x="8470900" y="35953700"/>
          <a:ext cx="2432050" cy="2781300"/>
        </a:xfrm>
        <a:prstGeom prst="ellipse">
          <a:avLst/>
        </a:prstGeom>
        <a:noFill/>
        <a:ln w="19050">
          <a:solidFill>
            <a:srgbClr val="00FF00"/>
          </a:solidFill>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9</xdr:col>
      <xdr:colOff>365125</xdr:colOff>
      <xdr:row>241</xdr:row>
      <xdr:rowOff>111125</xdr:rowOff>
    </xdr:from>
    <xdr:ext cx="389729" cy="176972"/>
    <xdr:sp macro="" textlink="">
      <xdr:nvSpPr>
        <xdr:cNvPr id="11284" name="Text Box 20">
          <a:extLst>
            <a:ext uri="{FF2B5EF4-FFF2-40B4-BE49-F238E27FC236}">
              <a16:creationId xmlns:a16="http://schemas.microsoft.com/office/drawing/2014/main" id="{E41C354B-A5BF-49DF-B6D1-AC3B3D04CBAA}"/>
            </a:ext>
          </a:extLst>
        </xdr:cNvPr>
        <xdr:cNvSpPr txBox="1">
          <a:spLocks noChangeArrowheads="1"/>
        </xdr:cNvSpPr>
      </xdr:nvSpPr>
      <xdr:spPr bwMode="auto">
        <a:xfrm>
          <a:off x="10345208" y="37767331"/>
          <a:ext cx="331991" cy="176972"/>
        </a:xfrm>
        <a:prstGeom prst="rect">
          <a:avLst/>
        </a:prstGeom>
        <a:solidFill>
          <a:srgbClr val="C0C0C0"/>
        </a:solid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0 dBi</a:t>
          </a:r>
        </a:p>
      </xdr:txBody>
    </xdr:sp>
    <xdr:clientData/>
  </xdr:oneCellAnchor>
</xdr:wsDr>
</file>

<file path=xl/drawings/drawing16.xml><?xml version="1.0" encoding="utf-8"?>
<xdr:wsDr xmlns:xdr="http://schemas.openxmlformats.org/drawingml/2006/spreadsheetDrawing" xmlns:a="http://schemas.openxmlformats.org/drawingml/2006/main">
  <xdr:twoCellAnchor editAs="oneCell">
    <xdr:from>
      <xdr:col>11</xdr:col>
      <xdr:colOff>590550</xdr:colOff>
      <xdr:row>23</xdr:row>
      <xdr:rowOff>82550</xdr:rowOff>
    </xdr:from>
    <xdr:to>
      <xdr:col>12</xdr:col>
      <xdr:colOff>44450</xdr:colOff>
      <xdr:row>24</xdr:row>
      <xdr:rowOff>127000</xdr:rowOff>
    </xdr:to>
    <xdr:sp macro="" textlink="">
      <xdr:nvSpPr>
        <xdr:cNvPr id="7756" name="Text Box 2">
          <a:extLst>
            <a:ext uri="{FF2B5EF4-FFF2-40B4-BE49-F238E27FC236}">
              <a16:creationId xmlns:a16="http://schemas.microsoft.com/office/drawing/2014/main" id="{B4201E24-EC18-4AD7-ABE4-9ED21A05B2E1}"/>
            </a:ext>
          </a:extLst>
        </xdr:cNvPr>
        <xdr:cNvSpPr txBox="1">
          <a:spLocks noChangeArrowheads="1"/>
        </xdr:cNvSpPr>
      </xdr:nvSpPr>
      <xdr:spPr bwMode="auto">
        <a:xfrm>
          <a:off x="9525000" y="4114800"/>
          <a:ext cx="69850"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12</xdr:col>
      <xdr:colOff>12700</xdr:colOff>
      <xdr:row>18</xdr:row>
      <xdr:rowOff>107950</xdr:rowOff>
    </xdr:from>
    <xdr:to>
      <xdr:col>12</xdr:col>
      <xdr:colOff>82550</xdr:colOff>
      <xdr:row>19</xdr:row>
      <xdr:rowOff>152400</xdr:rowOff>
    </xdr:to>
    <xdr:sp macro="" textlink="">
      <xdr:nvSpPr>
        <xdr:cNvPr id="7757" name="Text Box 3">
          <a:extLst>
            <a:ext uri="{FF2B5EF4-FFF2-40B4-BE49-F238E27FC236}">
              <a16:creationId xmlns:a16="http://schemas.microsoft.com/office/drawing/2014/main" id="{FD4093C7-1817-4DA1-ABC9-6733B3EFBF59}"/>
            </a:ext>
          </a:extLst>
        </xdr:cNvPr>
        <xdr:cNvSpPr txBox="1">
          <a:spLocks noChangeArrowheads="1"/>
        </xdr:cNvSpPr>
      </xdr:nvSpPr>
      <xdr:spPr bwMode="auto">
        <a:xfrm>
          <a:off x="9563100" y="3314700"/>
          <a:ext cx="69850"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xdr:col>
      <xdr:colOff>336550</xdr:colOff>
      <xdr:row>13</xdr:row>
      <xdr:rowOff>0</xdr:rowOff>
    </xdr:from>
    <xdr:to>
      <xdr:col>1</xdr:col>
      <xdr:colOff>336550</xdr:colOff>
      <xdr:row>14</xdr:row>
      <xdr:rowOff>12700</xdr:rowOff>
    </xdr:to>
    <xdr:sp macro="" textlink="">
      <xdr:nvSpPr>
        <xdr:cNvPr id="7758" name="Line 4">
          <a:extLst>
            <a:ext uri="{FF2B5EF4-FFF2-40B4-BE49-F238E27FC236}">
              <a16:creationId xmlns:a16="http://schemas.microsoft.com/office/drawing/2014/main" id="{3C6BCC04-8C37-4612-BD3E-AE0589D5B997}"/>
            </a:ext>
          </a:extLst>
        </xdr:cNvPr>
        <xdr:cNvSpPr>
          <a:spLocks noChangeShapeType="1"/>
        </xdr:cNvSpPr>
      </xdr:nvSpPr>
      <xdr:spPr bwMode="auto">
        <a:xfrm>
          <a:off x="1536700" y="2374900"/>
          <a:ext cx="0" cy="1841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336550</xdr:colOff>
      <xdr:row>13</xdr:row>
      <xdr:rowOff>0</xdr:rowOff>
    </xdr:from>
    <xdr:to>
      <xdr:col>2</xdr:col>
      <xdr:colOff>336550</xdr:colOff>
      <xdr:row>14</xdr:row>
      <xdr:rowOff>12700</xdr:rowOff>
    </xdr:to>
    <xdr:sp macro="" textlink="">
      <xdr:nvSpPr>
        <xdr:cNvPr id="7759" name="Line 5">
          <a:extLst>
            <a:ext uri="{FF2B5EF4-FFF2-40B4-BE49-F238E27FC236}">
              <a16:creationId xmlns:a16="http://schemas.microsoft.com/office/drawing/2014/main" id="{F674E3C3-9634-4876-8FEB-6DA528FACC3B}"/>
            </a:ext>
          </a:extLst>
        </xdr:cNvPr>
        <xdr:cNvSpPr>
          <a:spLocks noChangeShapeType="1"/>
        </xdr:cNvSpPr>
      </xdr:nvSpPr>
      <xdr:spPr bwMode="auto">
        <a:xfrm>
          <a:off x="2165350" y="2374900"/>
          <a:ext cx="0" cy="1841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374650</xdr:colOff>
      <xdr:row>13</xdr:row>
      <xdr:rowOff>0</xdr:rowOff>
    </xdr:from>
    <xdr:to>
      <xdr:col>3</xdr:col>
      <xdr:colOff>374650</xdr:colOff>
      <xdr:row>14</xdr:row>
      <xdr:rowOff>12700</xdr:rowOff>
    </xdr:to>
    <xdr:sp macro="" textlink="">
      <xdr:nvSpPr>
        <xdr:cNvPr id="7760" name="Line 6">
          <a:extLst>
            <a:ext uri="{FF2B5EF4-FFF2-40B4-BE49-F238E27FC236}">
              <a16:creationId xmlns:a16="http://schemas.microsoft.com/office/drawing/2014/main" id="{16579ED0-6187-4974-9441-F3AE4229FE01}"/>
            </a:ext>
          </a:extLst>
        </xdr:cNvPr>
        <xdr:cNvSpPr>
          <a:spLocks noChangeShapeType="1"/>
        </xdr:cNvSpPr>
      </xdr:nvSpPr>
      <xdr:spPr bwMode="auto">
        <a:xfrm>
          <a:off x="3067050" y="2374900"/>
          <a:ext cx="0" cy="1841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527050</xdr:colOff>
      <xdr:row>13</xdr:row>
      <xdr:rowOff>0</xdr:rowOff>
    </xdr:from>
    <xdr:to>
      <xdr:col>4</xdr:col>
      <xdr:colOff>527050</xdr:colOff>
      <xdr:row>14</xdr:row>
      <xdr:rowOff>12700</xdr:rowOff>
    </xdr:to>
    <xdr:sp macro="" textlink="">
      <xdr:nvSpPr>
        <xdr:cNvPr id="7761" name="Line 7">
          <a:extLst>
            <a:ext uri="{FF2B5EF4-FFF2-40B4-BE49-F238E27FC236}">
              <a16:creationId xmlns:a16="http://schemas.microsoft.com/office/drawing/2014/main" id="{64D4220B-5418-4A69-BD51-AD68D09274AB}"/>
            </a:ext>
          </a:extLst>
        </xdr:cNvPr>
        <xdr:cNvSpPr>
          <a:spLocks noChangeShapeType="1"/>
        </xdr:cNvSpPr>
      </xdr:nvSpPr>
      <xdr:spPr bwMode="auto">
        <a:xfrm>
          <a:off x="3975100" y="2374900"/>
          <a:ext cx="0" cy="1841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drawings/drawing17.xml><?xml version="1.0" encoding="utf-8"?>
<xdr:wsDr xmlns:xdr="http://schemas.openxmlformats.org/drawingml/2006/spreadsheetDrawing" xmlns:a="http://schemas.openxmlformats.org/drawingml/2006/main">
  <xdr:twoCellAnchor>
    <xdr:from>
      <xdr:col>0</xdr:col>
      <xdr:colOff>0</xdr:colOff>
      <xdr:row>0</xdr:row>
      <xdr:rowOff>0</xdr:rowOff>
    </xdr:from>
    <xdr:to>
      <xdr:col>15</xdr:col>
      <xdr:colOff>196850</xdr:colOff>
      <xdr:row>30</xdr:row>
      <xdr:rowOff>0</xdr:rowOff>
    </xdr:to>
    <xdr:graphicFrame macro="">
      <xdr:nvGraphicFramePr>
        <xdr:cNvPr id="9508" name="Chart 1">
          <a:extLst>
            <a:ext uri="{FF2B5EF4-FFF2-40B4-BE49-F238E27FC236}">
              <a16:creationId xmlns:a16="http://schemas.microsoft.com/office/drawing/2014/main" id="{D0C04793-7125-4434-B8B6-978359E428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444500</xdr:colOff>
      <xdr:row>8</xdr:row>
      <xdr:rowOff>120650</xdr:rowOff>
    </xdr:from>
    <xdr:to>
      <xdr:col>14</xdr:col>
      <xdr:colOff>444500</xdr:colOff>
      <xdr:row>8</xdr:row>
      <xdr:rowOff>120650</xdr:rowOff>
    </xdr:to>
    <xdr:sp macro="" textlink="">
      <xdr:nvSpPr>
        <xdr:cNvPr id="9509" name="Line 2">
          <a:extLst>
            <a:ext uri="{FF2B5EF4-FFF2-40B4-BE49-F238E27FC236}">
              <a16:creationId xmlns:a16="http://schemas.microsoft.com/office/drawing/2014/main" id="{A0FA9E7A-D038-4955-A93E-D1A4B63BA89B}"/>
            </a:ext>
          </a:extLst>
        </xdr:cNvPr>
        <xdr:cNvSpPr>
          <a:spLocks noChangeShapeType="1"/>
        </xdr:cNvSpPr>
      </xdr:nvSpPr>
      <xdr:spPr bwMode="auto">
        <a:xfrm>
          <a:off x="1060450" y="1390650"/>
          <a:ext cx="8007350" cy="0"/>
        </a:xfrm>
        <a:prstGeom prst="line">
          <a:avLst/>
        </a:prstGeom>
        <a:noFill/>
        <a:ln w="19050">
          <a:solidFill>
            <a:srgbClr val="FF0000"/>
          </a:solidFill>
          <a:round/>
          <a:headEnd/>
          <a:tailEnd/>
        </a:ln>
        <a:extLst>
          <a:ext uri="{909E8E84-426E-40DD-AFC4-6F175D3DCCD1}">
            <a14:hiddenFill xmlns:a14="http://schemas.microsoft.com/office/drawing/2010/main">
              <a:noFill/>
            </a14:hiddenFill>
          </a:ext>
        </a:extLst>
      </xdr:spPr>
    </xdr:sp>
    <xdr:clientData/>
  </xdr:twoCellAnchor>
  <xdr:oneCellAnchor>
    <xdr:from>
      <xdr:col>7</xdr:col>
      <xdr:colOff>587375</xdr:colOff>
      <xdr:row>8</xdr:row>
      <xdr:rowOff>6350</xdr:rowOff>
    </xdr:from>
    <xdr:ext cx="310017" cy="190081"/>
    <xdr:sp macro="" textlink="">
      <xdr:nvSpPr>
        <xdr:cNvPr id="9219" name="Text Box 3">
          <a:extLst>
            <a:ext uri="{FF2B5EF4-FFF2-40B4-BE49-F238E27FC236}">
              <a16:creationId xmlns:a16="http://schemas.microsoft.com/office/drawing/2014/main" id="{CF13CC7F-9402-47BA-B7BB-74E0764A42B2}"/>
            </a:ext>
          </a:extLst>
        </xdr:cNvPr>
        <xdr:cNvSpPr txBox="1">
          <a:spLocks noChangeArrowheads="1"/>
        </xdr:cNvSpPr>
      </xdr:nvSpPr>
      <xdr:spPr bwMode="auto">
        <a:xfrm>
          <a:off x="5356225" y="1225550"/>
          <a:ext cx="289349" cy="176972"/>
        </a:xfrm>
        <a:prstGeom prst="rect">
          <a:avLst/>
        </a:prstGeom>
        <a:solidFill>
          <a:srgbClr val="FFCC99"/>
        </a:solid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-3dB</a:t>
          </a:r>
        </a:p>
      </xdr:txBody>
    </xdr:sp>
    <xdr:clientData/>
  </xdr:oneCellAnchor>
</xdr:wsDr>
</file>

<file path=xl/drawings/drawing18.xml><?xml version="1.0" encoding="utf-8"?>
<xdr:wsDr xmlns:xdr="http://schemas.openxmlformats.org/drawingml/2006/spreadsheetDrawing" xmlns:a="http://schemas.openxmlformats.org/drawingml/2006/main">
  <xdr:twoCellAnchor>
    <xdr:from>
      <xdr:col>2</xdr:col>
      <xdr:colOff>603250</xdr:colOff>
      <xdr:row>17</xdr:row>
      <xdr:rowOff>12700</xdr:rowOff>
    </xdr:from>
    <xdr:to>
      <xdr:col>5</xdr:col>
      <xdr:colOff>12700</xdr:colOff>
      <xdr:row>21</xdr:row>
      <xdr:rowOff>0</xdr:rowOff>
    </xdr:to>
    <xdr:sp macro="" textlink="">
      <xdr:nvSpPr>
        <xdr:cNvPr id="543042" name="Rectangle 2">
          <a:extLst>
            <a:ext uri="{FF2B5EF4-FFF2-40B4-BE49-F238E27FC236}">
              <a16:creationId xmlns:a16="http://schemas.microsoft.com/office/drawing/2014/main" id="{BC18AC8E-9CD8-4562-956B-7F9DDFAAD954}"/>
            </a:ext>
          </a:extLst>
        </xdr:cNvPr>
        <xdr:cNvSpPr>
          <a:spLocks noChangeArrowheads="1"/>
        </xdr:cNvSpPr>
      </xdr:nvSpPr>
      <xdr:spPr bwMode="auto">
        <a:xfrm>
          <a:off x="1835150" y="2800350"/>
          <a:ext cx="1257300" cy="635000"/>
        </a:xfrm>
        <a:prstGeom prst="rect">
          <a:avLst/>
        </a:prstGeom>
        <a:solidFill>
          <a:srgbClr val="99CCFF"/>
        </a:solidFill>
        <a:ln w="9525">
          <a:solidFill>
            <a:srgbClr val="000000"/>
          </a:solidFill>
          <a:miter lim="800000"/>
          <a:headEnd/>
          <a:tailEnd/>
        </a:ln>
      </xdr:spPr>
    </xdr:sp>
    <xdr:clientData/>
  </xdr:twoCellAnchor>
  <xdr:twoCellAnchor>
    <xdr:from>
      <xdr:col>8</xdr:col>
      <xdr:colOff>69850</xdr:colOff>
      <xdr:row>20</xdr:row>
      <xdr:rowOff>0</xdr:rowOff>
    </xdr:from>
    <xdr:to>
      <xdr:col>9</xdr:col>
      <xdr:colOff>0</xdr:colOff>
      <xdr:row>22</xdr:row>
      <xdr:rowOff>12700</xdr:rowOff>
    </xdr:to>
    <xdr:sp macro="" textlink="">
      <xdr:nvSpPr>
        <xdr:cNvPr id="543043" name="Line 4">
          <a:extLst>
            <a:ext uri="{FF2B5EF4-FFF2-40B4-BE49-F238E27FC236}">
              <a16:creationId xmlns:a16="http://schemas.microsoft.com/office/drawing/2014/main" id="{276F79BD-CCA0-45B2-A5C8-77669AEA68A3}"/>
            </a:ext>
          </a:extLst>
        </xdr:cNvPr>
        <xdr:cNvSpPr>
          <a:spLocks noChangeShapeType="1"/>
        </xdr:cNvSpPr>
      </xdr:nvSpPr>
      <xdr:spPr bwMode="auto">
        <a:xfrm>
          <a:off x="4997450" y="3270250"/>
          <a:ext cx="546100" cy="336550"/>
        </a:xfrm>
        <a:prstGeom prst="line">
          <a:avLst/>
        </a:prstGeom>
        <a:noFill/>
        <a:ln w="381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0</xdr:colOff>
      <xdr:row>17</xdr:row>
      <xdr:rowOff>0</xdr:rowOff>
    </xdr:from>
    <xdr:to>
      <xdr:col>8</xdr:col>
      <xdr:colOff>82550</xdr:colOff>
      <xdr:row>21</xdr:row>
      <xdr:rowOff>25400</xdr:rowOff>
    </xdr:to>
    <xdr:sp macro="" textlink="">
      <xdr:nvSpPr>
        <xdr:cNvPr id="543044" name="Rectangle 3">
          <a:extLst>
            <a:ext uri="{FF2B5EF4-FFF2-40B4-BE49-F238E27FC236}">
              <a16:creationId xmlns:a16="http://schemas.microsoft.com/office/drawing/2014/main" id="{92613CF5-B180-4C15-806C-0F03108E26CE}"/>
            </a:ext>
          </a:extLst>
        </xdr:cNvPr>
        <xdr:cNvSpPr>
          <a:spLocks noChangeArrowheads="1"/>
        </xdr:cNvSpPr>
      </xdr:nvSpPr>
      <xdr:spPr bwMode="auto">
        <a:xfrm>
          <a:off x="4927600" y="2787650"/>
          <a:ext cx="82550" cy="673100"/>
        </a:xfrm>
        <a:prstGeom prst="rect">
          <a:avLst/>
        </a:prstGeom>
        <a:solidFill>
          <a:srgbClr val="99CCFF"/>
        </a:solidFill>
        <a:ln w="9525">
          <a:solidFill>
            <a:srgbClr val="000000"/>
          </a:solidFill>
          <a:miter lim="800000"/>
          <a:headEnd/>
          <a:tailEnd/>
        </a:ln>
      </xdr:spPr>
    </xdr:sp>
    <xdr:clientData/>
  </xdr:twoCellAnchor>
  <xdr:twoCellAnchor>
    <xdr:from>
      <xdr:col>8</xdr:col>
      <xdr:colOff>82550</xdr:colOff>
      <xdr:row>15</xdr:row>
      <xdr:rowOff>146050</xdr:rowOff>
    </xdr:from>
    <xdr:to>
      <xdr:col>9</xdr:col>
      <xdr:colOff>12700</xdr:colOff>
      <xdr:row>18</xdr:row>
      <xdr:rowOff>0</xdr:rowOff>
    </xdr:to>
    <xdr:sp macro="" textlink="">
      <xdr:nvSpPr>
        <xdr:cNvPr id="543045" name="Line 5">
          <a:extLst>
            <a:ext uri="{FF2B5EF4-FFF2-40B4-BE49-F238E27FC236}">
              <a16:creationId xmlns:a16="http://schemas.microsoft.com/office/drawing/2014/main" id="{545281AE-1BC8-43DD-8D83-B568C2B2D320}"/>
            </a:ext>
          </a:extLst>
        </xdr:cNvPr>
        <xdr:cNvSpPr>
          <a:spLocks noChangeShapeType="1"/>
        </xdr:cNvSpPr>
      </xdr:nvSpPr>
      <xdr:spPr bwMode="auto">
        <a:xfrm flipV="1">
          <a:off x="5010150" y="2616200"/>
          <a:ext cx="546100" cy="330200"/>
        </a:xfrm>
        <a:prstGeom prst="line">
          <a:avLst/>
        </a:prstGeom>
        <a:noFill/>
        <a:ln w="381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463550</xdr:colOff>
      <xdr:row>17</xdr:row>
      <xdr:rowOff>146050</xdr:rowOff>
    </xdr:from>
    <xdr:to>
      <xdr:col>7</xdr:col>
      <xdr:colOff>476250</xdr:colOff>
      <xdr:row>20</xdr:row>
      <xdr:rowOff>12700</xdr:rowOff>
    </xdr:to>
    <xdr:sp macro="" textlink="">
      <xdr:nvSpPr>
        <xdr:cNvPr id="543046" name="Rectangle 6">
          <a:extLst>
            <a:ext uri="{FF2B5EF4-FFF2-40B4-BE49-F238E27FC236}">
              <a16:creationId xmlns:a16="http://schemas.microsoft.com/office/drawing/2014/main" id="{CD0328CB-2401-44A3-9648-669355130E69}"/>
            </a:ext>
          </a:extLst>
        </xdr:cNvPr>
        <xdr:cNvSpPr>
          <a:spLocks noChangeArrowheads="1"/>
        </xdr:cNvSpPr>
      </xdr:nvSpPr>
      <xdr:spPr bwMode="auto">
        <a:xfrm>
          <a:off x="4159250" y="2933700"/>
          <a:ext cx="628650" cy="349250"/>
        </a:xfrm>
        <a:prstGeom prst="rect">
          <a:avLst/>
        </a:prstGeom>
        <a:solidFill>
          <a:srgbClr val="99CCFF"/>
        </a:solidFill>
        <a:ln w="9525">
          <a:solidFill>
            <a:srgbClr val="000000"/>
          </a:solidFill>
          <a:miter lim="800000"/>
          <a:headEnd/>
          <a:tailEnd/>
        </a:ln>
      </xdr:spPr>
    </xdr:sp>
    <xdr:clientData/>
  </xdr:twoCellAnchor>
  <xdr:twoCellAnchor>
    <xdr:from>
      <xdr:col>7</xdr:col>
      <xdr:colOff>476250</xdr:colOff>
      <xdr:row>19</xdr:row>
      <xdr:rowOff>0</xdr:rowOff>
    </xdr:from>
    <xdr:to>
      <xdr:col>7</xdr:col>
      <xdr:colOff>603250</xdr:colOff>
      <xdr:row>19</xdr:row>
      <xdr:rowOff>0</xdr:rowOff>
    </xdr:to>
    <xdr:sp macro="" textlink="">
      <xdr:nvSpPr>
        <xdr:cNvPr id="543047" name="Line 7">
          <a:extLst>
            <a:ext uri="{FF2B5EF4-FFF2-40B4-BE49-F238E27FC236}">
              <a16:creationId xmlns:a16="http://schemas.microsoft.com/office/drawing/2014/main" id="{2C07E6A0-EAE3-4215-B840-0DBE23F929A2}"/>
            </a:ext>
          </a:extLst>
        </xdr:cNvPr>
        <xdr:cNvSpPr>
          <a:spLocks noChangeShapeType="1"/>
        </xdr:cNvSpPr>
      </xdr:nvSpPr>
      <xdr:spPr bwMode="auto">
        <a:xfrm flipH="1">
          <a:off x="4787900" y="3111500"/>
          <a:ext cx="12700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279400</xdr:colOff>
      <xdr:row>18</xdr:row>
      <xdr:rowOff>152400</xdr:rowOff>
    </xdr:from>
    <xdr:to>
      <xdr:col>6</xdr:col>
      <xdr:colOff>450850</xdr:colOff>
      <xdr:row>18</xdr:row>
      <xdr:rowOff>152400</xdr:rowOff>
    </xdr:to>
    <xdr:sp macro="" textlink="">
      <xdr:nvSpPr>
        <xdr:cNvPr id="543048" name="Line 8">
          <a:extLst>
            <a:ext uri="{FF2B5EF4-FFF2-40B4-BE49-F238E27FC236}">
              <a16:creationId xmlns:a16="http://schemas.microsoft.com/office/drawing/2014/main" id="{C5F0DC06-2A49-4CFB-92D0-B6A09320FA1C}"/>
            </a:ext>
          </a:extLst>
        </xdr:cNvPr>
        <xdr:cNvSpPr>
          <a:spLocks noChangeShapeType="1"/>
        </xdr:cNvSpPr>
      </xdr:nvSpPr>
      <xdr:spPr bwMode="auto">
        <a:xfrm flipH="1">
          <a:off x="3359150" y="3098800"/>
          <a:ext cx="78740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196850</xdr:colOff>
      <xdr:row>18</xdr:row>
      <xdr:rowOff>107950</xdr:rowOff>
    </xdr:from>
    <xdr:to>
      <xdr:col>5</xdr:col>
      <xdr:colOff>323850</xdr:colOff>
      <xdr:row>19</xdr:row>
      <xdr:rowOff>25400</xdr:rowOff>
    </xdr:to>
    <xdr:sp macro="" textlink="">
      <xdr:nvSpPr>
        <xdr:cNvPr id="543049" name="AutoShape 9">
          <a:extLst>
            <a:ext uri="{FF2B5EF4-FFF2-40B4-BE49-F238E27FC236}">
              <a16:creationId xmlns:a16="http://schemas.microsoft.com/office/drawing/2014/main" id="{F43D6C66-30CF-4771-A11A-BC0BEE80BB34}"/>
            </a:ext>
          </a:extLst>
        </xdr:cNvPr>
        <xdr:cNvSpPr>
          <a:spLocks noChangeArrowheads="1"/>
        </xdr:cNvSpPr>
      </xdr:nvSpPr>
      <xdr:spPr bwMode="auto">
        <a:xfrm rot="-5400000">
          <a:off x="3298825" y="3032125"/>
          <a:ext cx="82550" cy="127000"/>
        </a:xfrm>
        <a:custGeom>
          <a:avLst/>
          <a:gdLst>
            <a:gd name="T0" fmla="*/ 2147483647 w 21600"/>
            <a:gd name="T1" fmla="*/ 2147483647 h 21600"/>
            <a:gd name="T2" fmla="*/ 2147483647 w 21600"/>
            <a:gd name="T3" fmla="*/ 2147483647 h 21600"/>
            <a:gd name="T4" fmla="*/ 2147483647 w 21600"/>
            <a:gd name="T5" fmla="*/ 2147483647 h 21600"/>
            <a:gd name="T6" fmla="*/ 2147483647 w 21600"/>
            <a:gd name="T7" fmla="*/ 0 h 21600"/>
            <a:gd name="T8" fmla="*/ 0 60000 65536"/>
            <a:gd name="T9" fmla="*/ 0 60000 65536"/>
            <a:gd name="T10" fmla="*/ 0 60000 65536"/>
            <a:gd name="T11" fmla="*/ 0 60000 65536"/>
            <a:gd name="T12" fmla="*/ 4500 w 21600"/>
            <a:gd name="T13" fmla="*/ 4500 h 21600"/>
            <a:gd name="T14" fmla="*/ 17100 w 21600"/>
            <a:gd name="T15" fmla="*/ 17100 h 21600"/>
          </a:gdLst>
          <a:ahLst/>
          <a:cxnLst>
            <a:cxn ang="T8">
              <a:pos x="T0" y="T1"/>
            </a:cxn>
            <a:cxn ang="T9">
              <a:pos x="T2" y="T3"/>
            </a:cxn>
            <a:cxn ang="T10">
              <a:pos x="T4" y="T5"/>
            </a:cxn>
            <a:cxn ang="T11">
              <a:pos x="T6" y="T7"/>
            </a:cxn>
          </a:cxnLst>
          <a:rect l="T12" t="T13" r="T14" b="T15"/>
          <a:pathLst>
            <a:path w="21600" h="21600">
              <a:moveTo>
                <a:pt x="0" y="0"/>
              </a:moveTo>
              <a:lnTo>
                <a:pt x="5400" y="21600"/>
              </a:lnTo>
              <a:lnTo>
                <a:pt x="16200" y="21600"/>
              </a:lnTo>
              <a:lnTo>
                <a:pt x="21600" y="0"/>
              </a:lnTo>
              <a:lnTo>
                <a:pt x="0" y="0"/>
              </a:lnTo>
              <a:close/>
            </a:path>
          </a:pathLst>
        </a:custGeom>
        <a:solidFill>
          <a:srgbClr val="0000FF"/>
        </a:solidFill>
        <a:ln w="9525">
          <a:solidFill>
            <a:srgbClr val="000000"/>
          </a:solidFill>
          <a:miter lim="800000"/>
          <a:headEnd/>
          <a:tailEnd/>
        </a:ln>
      </xdr:spPr>
    </xdr:sp>
    <xdr:clientData/>
  </xdr:twoCellAnchor>
  <xdr:twoCellAnchor>
    <xdr:from>
      <xdr:col>5</xdr:col>
      <xdr:colOff>25400</xdr:colOff>
      <xdr:row>18</xdr:row>
      <xdr:rowOff>107950</xdr:rowOff>
    </xdr:from>
    <xdr:to>
      <xdr:col>5</xdr:col>
      <xdr:colOff>95250</xdr:colOff>
      <xdr:row>19</xdr:row>
      <xdr:rowOff>25400</xdr:rowOff>
    </xdr:to>
    <xdr:sp macro="" textlink="">
      <xdr:nvSpPr>
        <xdr:cNvPr id="543050" name="Rectangle 10">
          <a:extLst>
            <a:ext uri="{FF2B5EF4-FFF2-40B4-BE49-F238E27FC236}">
              <a16:creationId xmlns:a16="http://schemas.microsoft.com/office/drawing/2014/main" id="{33716F2C-FE2A-406C-BA50-ACCB93BDBB27}"/>
            </a:ext>
          </a:extLst>
        </xdr:cNvPr>
        <xdr:cNvSpPr>
          <a:spLocks noChangeArrowheads="1"/>
        </xdr:cNvSpPr>
      </xdr:nvSpPr>
      <xdr:spPr bwMode="auto">
        <a:xfrm>
          <a:off x="3105150" y="3054350"/>
          <a:ext cx="69850" cy="82550"/>
        </a:xfrm>
        <a:prstGeom prst="rect">
          <a:avLst/>
        </a:prstGeom>
        <a:solidFill>
          <a:srgbClr val="0000FF"/>
        </a:solidFill>
        <a:ln w="9525">
          <a:solidFill>
            <a:srgbClr val="000000"/>
          </a:solidFill>
          <a:miter lim="800000"/>
          <a:headEnd/>
          <a:tailEnd/>
        </a:ln>
      </xdr:spPr>
    </xdr:sp>
    <xdr:clientData/>
  </xdr:twoCellAnchor>
  <xdr:oneCellAnchor>
    <xdr:from>
      <xdr:col>8</xdr:col>
      <xdr:colOff>419100</xdr:colOff>
      <xdr:row>18</xdr:row>
      <xdr:rowOff>73025</xdr:rowOff>
    </xdr:from>
    <xdr:ext cx="546580" cy="171073"/>
    <xdr:sp macro="" textlink="">
      <xdr:nvSpPr>
        <xdr:cNvPr id="18443" name="Text Box 11">
          <a:extLst>
            <a:ext uri="{FF2B5EF4-FFF2-40B4-BE49-F238E27FC236}">
              <a16:creationId xmlns:a16="http://schemas.microsoft.com/office/drawing/2014/main" id="{C8E27C23-3723-4658-A0CF-7A3ED196C785}"/>
            </a:ext>
          </a:extLst>
        </xdr:cNvPr>
        <xdr:cNvSpPr txBox="1">
          <a:spLocks noChangeArrowheads="1"/>
        </xdr:cNvSpPr>
      </xdr:nvSpPr>
      <xdr:spPr bwMode="auto">
        <a:xfrm>
          <a:off x="5842000" y="2886075"/>
          <a:ext cx="496237"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Antenna</a:t>
          </a:r>
        </a:p>
      </xdr:txBody>
    </xdr:sp>
    <xdr:clientData/>
  </xdr:oneCellAnchor>
  <xdr:oneCellAnchor>
    <xdr:from>
      <xdr:col>6</xdr:col>
      <xdr:colOff>445968</xdr:colOff>
      <xdr:row>17</xdr:row>
      <xdr:rowOff>146050</xdr:rowOff>
    </xdr:from>
    <xdr:ext cx="606663" cy="319251"/>
    <xdr:sp macro="" textlink="">
      <xdr:nvSpPr>
        <xdr:cNvPr id="18444" name="Text Box 12">
          <a:extLst>
            <a:ext uri="{FF2B5EF4-FFF2-40B4-BE49-F238E27FC236}">
              <a16:creationId xmlns:a16="http://schemas.microsoft.com/office/drawing/2014/main" id="{06654959-50CC-40CA-8E06-2FEE3EF745B2}"/>
            </a:ext>
          </a:extLst>
        </xdr:cNvPr>
        <xdr:cNvSpPr txBox="1">
          <a:spLocks noChangeArrowheads="1"/>
        </xdr:cNvSpPr>
      </xdr:nvSpPr>
      <xdr:spPr bwMode="auto">
        <a:xfrm>
          <a:off x="4522668" y="2806700"/>
          <a:ext cx="557283" cy="330860"/>
        </a:xfrm>
        <a:prstGeom prst="rect">
          <a:avLst/>
        </a:prstGeom>
        <a:noFill/>
        <a:ln w="9525">
          <a:noFill/>
          <a:miter lim="800000"/>
          <a:headEnd/>
          <a:tailEnd/>
        </a:ln>
      </xdr:spPr>
      <xdr:txBody>
        <a:bodyPr wrap="none" lIns="18288" tIns="22860" rIns="18288" bIns="0" anchor="t" upright="1">
          <a:spAutoFit/>
        </a:bodyPr>
        <a:lstStyle/>
        <a:p>
          <a:pPr algn="ctr" rtl="1">
            <a:defRPr sz="1000"/>
          </a:pPr>
          <a:r>
            <a:rPr lang="en-US" sz="1000" b="0" i="0" strike="noStrike">
              <a:solidFill>
                <a:srgbClr val="000000"/>
              </a:solidFill>
              <a:latin typeface="Arial"/>
              <a:cs typeface="Arial"/>
            </a:rPr>
            <a:t>Matching</a:t>
          </a:r>
        </a:p>
        <a:p>
          <a:pPr algn="ctr" rtl="1">
            <a:defRPr sz="1000"/>
          </a:pPr>
          <a:r>
            <a:rPr lang="en-US" sz="1000" b="0" i="0" strike="noStrike">
              <a:solidFill>
                <a:srgbClr val="000000"/>
              </a:solidFill>
              <a:latin typeface="Arial"/>
              <a:cs typeface="Arial"/>
            </a:rPr>
            <a:t>Network</a:t>
          </a:r>
        </a:p>
      </xdr:txBody>
    </xdr:sp>
    <xdr:clientData/>
  </xdr:oneCellAnchor>
  <xdr:oneCellAnchor>
    <xdr:from>
      <xdr:col>3</xdr:col>
      <xdr:colOff>234950</xdr:colOff>
      <xdr:row>18</xdr:row>
      <xdr:rowOff>50800</xdr:rowOff>
    </xdr:from>
    <xdr:ext cx="708119" cy="183292"/>
    <xdr:sp macro="" textlink="">
      <xdr:nvSpPr>
        <xdr:cNvPr id="18445" name="Text Box 13">
          <a:extLst>
            <a:ext uri="{FF2B5EF4-FFF2-40B4-BE49-F238E27FC236}">
              <a16:creationId xmlns:a16="http://schemas.microsoft.com/office/drawing/2014/main" id="{60482BF9-9209-4F83-9118-ED7085979042}"/>
            </a:ext>
          </a:extLst>
        </xdr:cNvPr>
        <xdr:cNvSpPr txBox="1">
          <a:spLocks noChangeArrowheads="1"/>
        </xdr:cNvSpPr>
      </xdr:nvSpPr>
      <xdr:spPr bwMode="auto">
        <a:xfrm>
          <a:off x="2286000" y="2863850"/>
          <a:ext cx="66686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Transmitter</a:t>
          </a:r>
        </a:p>
      </xdr:txBody>
    </xdr:sp>
    <xdr:clientData/>
  </xdr:oneCellAnchor>
  <xdr:oneCellAnchor>
    <xdr:from>
      <xdr:col>6</xdr:col>
      <xdr:colOff>473075</xdr:colOff>
      <xdr:row>22</xdr:row>
      <xdr:rowOff>149225</xdr:rowOff>
    </xdr:from>
    <xdr:ext cx="2722732" cy="324952"/>
    <xdr:sp macro="" textlink="">
      <xdr:nvSpPr>
        <xdr:cNvPr id="18446" name="Text Box 14">
          <a:extLst>
            <a:ext uri="{FF2B5EF4-FFF2-40B4-BE49-F238E27FC236}">
              <a16:creationId xmlns:a16="http://schemas.microsoft.com/office/drawing/2014/main" id="{CA19C83B-8123-4616-9FBA-A2AF71C3F9AD}"/>
            </a:ext>
          </a:extLst>
        </xdr:cNvPr>
        <xdr:cNvSpPr txBox="1">
          <a:spLocks noChangeArrowheads="1"/>
        </xdr:cNvSpPr>
      </xdr:nvSpPr>
      <xdr:spPr bwMode="auto">
        <a:xfrm>
          <a:off x="4556125" y="3571875"/>
          <a:ext cx="2541681" cy="3308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Measure  </a:t>
          </a:r>
          <a:r>
            <a:rPr lang="en-US" sz="1000" b="1" i="0" strike="noStrike">
              <a:solidFill>
                <a:srgbClr val="000000"/>
              </a:solidFill>
              <a:latin typeface="Arial"/>
              <a:cs typeface="Arial"/>
            </a:rPr>
            <a:t>Z</a:t>
          </a:r>
          <a:r>
            <a:rPr lang="en-US" sz="800" b="1" i="0" strike="noStrike">
              <a:solidFill>
                <a:srgbClr val="000000"/>
              </a:solidFill>
              <a:latin typeface="Arial"/>
              <a:cs typeface="Arial"/>
            </a:rPr>
            <a:t>sys </a:t>
          </a:r>
          <a:r>
            <a:rPr lang="en-US" sz="1000" b="0" i="0" strike="noStrike">
              <a:solidFill>
                <a:srgbClr val="000000"/>
              </a:solidFill>
              <a:latin typeface="Arial"/>
              <a:cs typeface="Arial"/>
            </a:rPr>
            <a:t> here using Network Analyzer</a:t>
          </a:r>
        </a:p>
        <a:p>
          <a:pPr algn="l" rtl="1">
            <a:defRPr sz="1000"/>
          </a:pPr>
          <a:r>
            <a:rPr lang="en-US" sz="1000" b="0" i="0" strike="noStrike">
              <a:solidFill>
                <a:srgbClr val="000000"/>
              </a:solidFill>
              <a:latin typeface="Arial"/>
              <a:cs typeface="Arial"/>
            </a:rPr>
            <a:t>or Impedance Bridge.</a:t>
          </a:r>
        </a:p>
      </xdr:txBody>
    </xdr:sp>
    <xdr:clientData/>
  </xdr:oneCellAnchor>
  <xdr:twoCellAnchor>
    <xdr:from>
      <xdr:col>5</xdr:col>
      <xdr:colOff>266700</xdr:colOff>
      <xdr:row>19</xdr:row>
      <xdr:rowOff>50800</xdr:rowOff>
    </xdr:from>
    <xdr:to>
      <xdr:col>6</xdr:col>
      <xdr:colOff>431800</xdr:colOff>
      <xdr:row>23</xdr:row>
      <xdr:rowOff>50800</xdr:rowOff>
    </xdr:to>
    <xdr:sp macro="" textlink="">
      <xdr:nvSpPr>
        <xdr:cNvPr id="543055" name="Line 15">
          <a:extLst>
            <a:ext uri="{FF2B5EF4-FFF2-40B4-BE49-F238E27FC236}">
              <a16:creationId xmlns:a16="http://schemas.microsoft.com/office/drawing/2014/main" id="{564B8939-567B-4C7E-8C77-4A2722E56FDF}"/>
            </a:ext>
          </a:extLst>
        </xdr:cNvPr>
        <xdr:cNvSpPr>
          <a:spLocks noChangeShapeType="1"/>
        </xdr:cNvSpPr>
      </xdr:nvSpPr>
      <xdr:spPr bwMode="auto">
        <a:xfrm flipH="1" flipV="1">
          <a:off x="3346450" y="3162300"/>
          <a:ext cx="781050" cy="6413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5</xdr:col>
      <xdr:colOff>438150</xdr:colOff>
      <xdr:row>25</xdr:row>
      <xdr:rowOff>107950</xdr:rowOff>
    </xdr:from>
    <xdr:ext cx="2643880" cy="330860"/>
    <xdr:sp macro="" textlink="">
      <xdr:nvSpPr>
        <xdr:cNvPr id="18448" name="Text Box 16">
          <a:extLst>
            <a:ext uri="{FF2B5EF4-FFF2-40B4-BE49-F238E27FC236}">
              <a16:creationId xmlns:a16="http://schemas.microsoft.com/office/drawing/2014/main" id="{1547A049-1A08-43D3-ADF4-A8A5F5786AAD}"/>
            </a:ext>
          </a:extLst>
        </xdr:cNvPr>
        <xdr:cNvSpPr txBox="1">
          <a:spLocks noChangeArrowheads="1"/>
        </xdr:cNvSpPr>
      </xdr:nvSpPr>
      <xdr:spPr bwMode="auto">
        <a:xfrm>
          <a:off x="3841750" y="3987800"/>
          <a:ext cx="2455031" cy="3308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Measure  </a:t>
          </a:r>
          <a:r>
            <a:rPr lang="en-US" sz="1000" b="1" i="0" strike="noStrike">
              <a:solidFill>
                <a:srgbClr val="000000"/>
              </a:solidFill>
              <a:latin typeface="Arial"/>
              <a:cs typeface="Arial"/>
            </a:rPr>
            <a:t>Z</a:t>
          </a:r>
          <a:r>
            <a:rPr lang="en-US" sz="800" b="1" i="0" strike="noStrike">
              <a:solidFill>
                <a:srgbClr val="000000"/>
              </a:solidFill>
              <a:latin typeface="Arial"/>
              <a:cs typeface="Arial"/>
            </a:rPr>
            <a:t>tx  </a:t>
          </a:r>
          <a:r>
            <a:rPr lang="en-US" sz="1000" b="0" i="0" strike="noStrike">
              <a:solidFill>
                <a:srgbClr val="000000"/>
              </a:solidFill>
              <a:latin typeface="Arial"/>
              <a:cs typeface="Arial"/>
            </a:rPr>
            <a:t>here using Network Analyzer </a:t>
          </a:r>
        </a:p>
        <a:p>
          <a:pPr algn="l" rtl="1">
            <a:defRPr sz="1000"/>
          </a:pPr>
          <a:r>
            <a:rPr lang="en-US" sz="1000" b="0" i="0" strike="noStrike">
              <a:solidFill>
                <a:srgbClr val="000000"/>
              </a:solidFill>
              <a:latin typeface="Arial"/>
              <a:cs typeface="Arial"/>
            </a:rPr>
            <a:t>or Impedance Bridge.</a:t>
          </a:r>
        </a:p>
      </xdr:txBody>
    </xdr:sp>
    <xdr:clientData/>
  </xdr:oneCellAnchor>
  <xdr:twoCellAnchor>
    <xdr:from>
      <xdr:col>5</xdr:col>
      <xdr:colOff>69850</xdr:colOff>
      <xdr:row>19</xdr:row>
      <xdr:rowOff>82550</xdr:rowOff>
    </xdr:from>
    <xdr:to>
      <xdr:col>5</xdr:col>
      <xdr:colOff>311150</xdr:colOff>
      <xdr:row>26</xdr:row>
      <xdr:rowOff>50800</xdr:rowOff>
    </xdr:to>
    <xdr:sp macro="" textlink="">
      <xdr:nvSpPr>
        <xdr:cNvPr id="543057" name="Line 17">
          <a:extLst>
            <a:ext uri="{FF2B5EF4-FFF2-40B4-BE49-F238E27FC236}">
              <a16:creationId xmlns:a16="http://schemas.microsoft.com/office/drawing/2014/main" id="{6E62ABE2-BA79-40D9-8396-F8938A245DFD}"/>
            </a:ext>
          </a:extLst>
        </xdr:cNvPr>
        <xdr:cNvSpPr>
          <a:spLocks noChangeShapeType="1"/>
        </xdr:cNvSpPr>
      </xdr:nvSpPr>
      <xdr:spPr bwMode="auto">
        <a:xfrm flipH="1" flipV="1">
          <a:off x="3149600" y="3194050"/>
          <a:ext cx="241300" cy="10858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311150</xdr:colOff>
      <xdr:row>26</xdr:row>
      <xdr:rowOff>50800</xdr:rowOff>
    </xdr:from>
    <xdr:to>
      <xdr:col>5</xdr:col>
      <xdr:colOff>425450</xdr:colOff>
      <xdr:row>26</xdr:row>
      <xdr:rowOff>50800</xdr:rowOff>
    </xdr:to>
    <xdr:sp macro="" textlink="">
      <xdr:nvSpPr>
        <xdr:cNvPr id="543058" name="Line 19">
          <a:extLst>
            <a:ext uri="{FF2B5EF4-FFF2-40B4-BE49-F238E27FC236}">
              <a16:creationId xmlns:a16="http://schemas.microsoft.com/office/drawing/2014/main" id="{DAE7C000-952E-4D7B-B7A3-0361AFE13406}"/>
            </a:ext>
          </a:extLst>
        </xdr:cNvPr>
        <xdr:cNvSpPr>
          <a:spLocks noChangeShapeType="1"/>
        </xdr:cNvSpPr>
      </xdr:nvSpPr>
      <xdr:spPr bwMode="auto">
        <a:xfrm>
          <a:off x="3390900" y="4279900"/>
          <a:ext cx="1143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266700</xdr:colOff>
      <xdr:row>33</xdr:row>
      <xdr:rowOff>0</xdr:rowOff>
    </xdr:from>
    <xdr:to>
      <xdr:col>4</xdr:col>
      <xdr:colOff>292100</xdr:colOff>
      <xdr:row>36</xdr:row>
      <xdr:rowOff>146050</xdr:rowOff>
    </xdr:to>
    <xdr:sp macro="" textlink="">
      <xdr:nvSpPr>
        <xdr:cNvPr id="543059" name="Rectangle 22">
          <a:extLst>
            <a:ext uri="{FF2B5EF4-FFF2-40B4-BE49-F238E27FC236}">
              <a16:creationId xmlns:a16="http://schemas.microsoft.com/office/drawing/2014/main" id="{9328AFB7-C998-4FED-9B8B-D140967BC181}"/>
            </a:ext>
          </a:extLst>
        </xdr:cNvPr>
        <xdr:cNvSpPr>
          <a:spLocks noChangeArrowheads="1"/>
        </xdr:cNvSpPr>
      </xdr:nvSpPr>
      <xdr:spPr bwMode="auto">
        <a:xfrm>
          <a:off x="1498600" y="5340350"/>
          <a:ext cx="1257300" cy="622300"/>
        </a:xfrm>
        <a:prstGeom prst="rect">
          <a:avLst/>
        </a:prstGeom>
        <a:solidFill>
          <a:srgbClr val="99CCFF"/>
        </a:solidFill>
        <a:ln w="9525">
          <a:solidFill>
            <a:srgbClr val="000000"/>
          </a:solidFill>
          <a:miter lim="800000"/>
          <a:headEnd/>
          <a:tailEnd/>
        </a:ln>
      </xdr:spPr>
    </xdr:sp>
    <xdr:clientData/>
  </xdr:twoCellAnchor>
  <xdr:oneCellAnchor>
    <xdr:from>
      <xdr:col>2</xdr:col>
      <xdr:colOff>511175</xdr:colOff>
      <xdr:row>34</xdr:row>
      <xdr:rowOff>47625</xdr:rowOff>
    </xdr:from>
    <xdr:ext cx="723026" cy="170870"/>
    <xdr:sp macro="" textlink="">
      <xdr:nvSpPr>
        <xdr:cNvPr id="18456" name="Text Box 24">
          <a:extLst>
            <a:ext uri="{FF2B5EF4-FFF2-40B4-BE49-F238E27FC236}">
              <a16:creationId xmlns:a16="http://schemas.microsoft.com/office/drawing/2014/main" id="{D0766360-FE3F-46CE-A3A2-C57CB5C54F19}"/>
            </a:ext>
          </a:extLst>
        </xdr:cNvPr>
        <xdr:cNvSpPr txBox="1">
          <a:spLocks noChangeArrowheads="1"/>
        </xdr:cNvSpPr>
      </xdr:nvSpPr>
      <xdr:spPr bwMode="auto">
        <a:xfrm>
          <a:off x="1901825" y="5305425"/>
          <a:ext cx="66686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Transmitter</a:t>
          </a:r>
        </a:p>
      </xdr:txBody>
    </xdr:sp>
    <xdr:clientData/>
  </xdr:oneCellAnchor>
  <xdr:twoCellAnchor>
    <xdr:from>
      <xdr:col>9</xdr:col>
      <xdr:colOff>431800</xdr:colOff>
      <xdr:row>33</xdr:row>
      <xdr:rowOff>12700</xdr:rowOff>
    </xdr:from>
    <xdr:to>
      <xdr:col>9</xdr:col>
      <xdr:colOff>514350</xdr:colOff>
      <xdr:row>37</xdr:row>
      <xdr:rowOff>38100</xdr:rowOff>
    </xdr:to>
    <xdr:sp macro="" textlink="">
      <xdr:nvSpPr>
        <xdr:cNvPr id="543061" name="Rectangle 25">
          <a:extLst>
            <a:ext uri="{FF2B5EF4-FFF2-40B4-BE49-F238E27FC236}">
              <a16:creationId xmlns:a16="http://schemas.microsoft.com/office/drawing/2014/main" id="{92E81C68-C3BA-45F5-8A0E-2B7E3B7BF3C6}"/>
            </a:ext>
          </a:extLst>
        </xdr:cNvPr>
        <xdr:cNvSpPr>
          <a:spLocks noChangeArrowheads="1"/>
        </xdr:cNvSpPr>
      </xdr:nvSpPr>
      <xdr:spPr bwMode="auto">
        <a:xfrm>
          <a:off x="5975350" y="5353050"/>
          <a:ext cx="82550" cy="660400"/>
        </a:xfrm>
        <a:prstGeom prst="rect">
          <a:avLst/>
        </a:prstGeom>
        <a:solidFill>
          <a:srgbClr val="99CCFF"/>
        </a:solidFill>
        <a:ln w="9525">
          <a:solidFill>
            <a:srgbClr val="000000"/>
          </a:solidFill>
          <a:miter lim="800000"/>
          <a:headEnd/>
          <a:tailEnd/>
        </a:ln>
      </xdr:spPr>
    </xdr:sp>
    <xdr:clientData/>
  </xdr:twoCellAnchor>
  <xdr:twoCellAnchor>
    <xdr:from>
      <xdr:col>9</xdr:col>
      <xdr:colOff>501650</xdr:colOff>
      <xdr:row>36</xdr:row>
      <xdr:rowOff>12700</xdr:rowOff>
    </xdr:from>
    <xdr:to>
      <xdr:col>10</xdr:col>
      <xdr:colOff>438150</xdr:colOff>
      <xdr:row>38</xdr:row>
      <xdr:rowOff>25400</xdr:rowOff>
    </xdr:to>
    <xdr:sp macro="" textlink="">
      <xdr:nvSpPr>
        <xdr:cNvPr id="543062" name="Line 26">
          <a:extLst>
            <a:ext uri="{FF2B5EF4-FFF2-40B4-BE49-F238E27FC236}">
              <a16:creationId xmlns:a16="http://schemas.microsoft.com/office/drawing/2014/main" id="{2A6A8F4A-75DF-4D9D-9BCB-DAC6C2D2C35F}"/>
            </a:ext>
          </a:extLst>
        </xdr:cNvPr>
        <xdr:cNvSpPr>
          <a:spLocks noChangeShapeType="1"/>
        </xdr:cNvSpPr>
      </xdr:nvSpPr>
      <xdr:spPr bwMode="auto">
        <a:xfrm>
          <a:off x="6045200" y="5829300"/>
          <a:ext cx="552450" cy="330200"/>
        </a:xfrm>
        <a:prstGeom prst="line">
          <a:avLst/>
        </a:prstGeom>
        <a:noFill/>
        <a:ln w="381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9</xdr:col>
      <xdr:colOff>514350</xdr:colOff>
      <xdr:row>31</xdr:row>
      <xdr:rowOff>146050</xdr:rowOff>
    </xdr:from>
    <xdr:to>
      <xdr:col>10</xdr:col>
      <xdr:colOff>450850</xdr:colOff>
      <xdr:row>34</xdr:row>
      <xdr:rowOff>12700</xdr:rowOff>
    </xdr:to>
    <xdr:sp macro="" textlink="">
      <xdr:nvSpPr>
        <xdr:cNvPr id="543063" name="Line 27">
          <a:extLst>
            <a:ext uri="{FF2B5EF4-FFF2-40B4-BE49-F238E27FC236}">
              <a16:creationId xmlns:a16="http://schemas.microsoft.com/office/drawing/2014/main" id="{A28B5A6B-789F-44FD-826D-581737351F14}"/>
            </a:ext>
          </a:extLst>
        </xdr:cNvPr>
        <xdr:cNvSpPr>
          <a:spLocks noChangeShapeType="1"/>
        </xdr:cNvSpPr>
      </xdr:nvSpPr>
      <xdr:spPr bwMode="auto">
        <a:xfrm flipV="1">
          <a:off x="6057900" y="5168900"/>
          <a:ext cx="552450" cy="342900"/>
        </a:xfrm>
        <a:prstGeom prst="line">
          <a:avLst/>
        </a:prstGeom>
        <a:noFill/>
        <a:ln w="381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279400</xdr:colOff>
      <xdr:row>34</xdr:row>
      <xdr:rowOff>0</xdr:rowOff>
    </xdr:from>
    <xdr:to>
      <xdr:col>9</xdr:col>
      <xdr:colOff>292100</xdr:colOff>
      <xdr:row>36</xdr:row>
      <xdr:rowOff>12700</xdr:rowOff>
    </xdr:to>
    <xdr:sp macro="" textlink="">
      <xdr:nvSpPr>
        <xdr:cNvPr id="543064" name="Rectangle 28">
          <a:extLst>
            <a:ext uri="{FF2B5EF4-FFF2-40B4-BE49-F238E27FC236}">
              <a16:creationId xmlns:a16="http://schemas.microsoft.com/office/drawing/2014/main" id="{B4937E16-7403-47F7-98D6-CFBD9309F0D3}"/>
            </a:ext>
          </a:extLst>
        </xdr:cNvPr>
        <xdr:cNvSpPr>
          <a:spLocks noChangeArrowheads="1"/>
        </xdr:cNvSpPr>
      </xdr:nvSpPr>
      <xdr:spPr bwMode="auto">
        <a:xfrm>
          <a:off x="5207000" y="5499100"/>
          <a:ext cx="628650" cy="330200"/>
        </a:xfrm>
        <a:prstGeom prst="rect">
          <a:avLst/>
        </a:prstGeom>
        <a:solidFill>
          <a:srgbClr val="99CCFF"/>
        </a:solidFill>
        <a:ln w="9525">
          <a:solidFill>
            <a:srgbClr val="000000"/>
          </a:solidFill>
          <a:miter lim="800000"/>
          <a:headEnd/>
          <a:tailEnd/>
        </a:ln>
      </xdr:spPr>
    </xdr:sp>
    <xdr:clientData/>
  </xdr:twoCellAnchor>
  <xdr:twoCellAnchor>
    <xdr:from>
      <xdr:col>9</xdr:col>
      <xdr:colOff>304800</xdr:colOff>
      <xdr:row>35</xdr:row>
      <xdr:rowOff>12700</xdr:rowOff>
    </xdr:from>
    <xdr:to>
      <xdr:col>9</xdr:col>
      <xdr:colOff>431800</xdr:colOff>
      <xdr:row>35</xdr:row>
      <xdr:rowOff>12700</xdr:rowOff>
    </xdr:to>
    <xdr:sp macro="" textlink="">
      <xdr:nvSpPr>
        <xdr:cNvPr id="543065" name="Line 29">
          <a:extLst>
            <a:ext uri="{FF2B5EF4-FFF2-40B4-BE49-F238E27FC236}">
              <a16:creationId xmlns:a16="http://schemas.microsoft.com/office/drawing/2014/main" id="{35744B16-C912-46D8-8A5B-99ED47937D9B}"/>
            </a:ext>
          </a:extLst>
        </xdr:cNvPr>
        <xdr:cNvSpPr>
          <a:spLocks noChangeShapeType="1"/>
        </xdr:cNvSpPr>
      </xdr:nvSpPr>
      <xdr:spPr bwMode="auto">
        <a:xfrm flipH="1">
          <a:off x="5848350" y="5670550"/>
          <a:ext cx="12700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95250</xdr:colOff>
      <xdr:row>35</xdr:row>
      <xdr:rowOff>0</xdr:rowOff>
    </xdr:from>
    <xdr:to>
      <xdr:col>8</xdr:col>
      <xdr:colOff>266700</xdr:colOff>
      <xdr:row>35</xdr:row>
      <xdr:rowOff>0</xdr:rowOff>
    </xdr:to>
    <xdr:sp macro="" textlink="">
      <xdr:nvSpPr>
        <xdr:cNvPr id="543066" name="Line 30">
          <a:extLst>
            <a:ext uri="{FF2B5EF4-FFF2-40B4-BE49-F238E27FC236}">
              <a16:creationId xmlns:a16="http://schemas.microsoft.com/office/drawing/2014/main" id="{A15D0381-9F29-40CA-8B3E-54BBFB8EC1A2}"/>
            </a:ext>
          </a:extLst>
        </xdr:cNvPr>
        <xdr:cNvSpPr>
          <a:spLocks noChangeShapeType="1"/>
        </xdr:cNvSpPr>
      </xdr:nvSpPr>
      <xdr:spPr bwMode="auto">
        <a:xfrm flipH="1">
          <a:off x="4406900" y="5657850"/>
          <a:ext cx="78740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12700</xdr:colOff>
      <xdr:row>34</xdr:row>
      <xdr:rowOff>120650</xdr:rowOff>
    </xdr:from>
    <xdr:to>
      <xdr:col>7</xdr:col>
      <xdr:colOff>139700</xdr:colOff>
      <xdr:row>35</xdr:row>
      <xdr:rowOff>38100</xdr:rowOff>
    </xdr:to>
    <xdr:sp macro="" textlink="">
      <xdr:nvSpPr>
        <xdr:cNvPr id="543067" name="AutoShape 31">
          <a:extLst>
            <a:ext uri="{FF2B5EF4-FFF2-40B4-BE49-F238E27FC236}">
              <a16:creationId xmlns:a16="http://schemas.microsoft.com/office/drawing/2014/main" id="{7D776C07-9D55-43CF-B4C0-F51F3BE796EA}"/>
            </a:ext>
          </a:extLst>
        </xdr:cNvPr>
        <xdr:cNvSpPr>
          <a:spLocks noChangeArrowheads="1"/>
        </xdr:cNvSpPr>
      </xdr:nvSpPr>
      <xdr:spPr bwMode="auto">
        <a:xfrm rot="-5400000">
          <a:off x="4349750" y="5594350"/>
          <a:ext cx="76200" cy="127000"/>
        </a:xfrm>
        <a:custGeom>
          <a:avLst/>
          <a:gdLst>
            <a:gd name="T0" fmla="*/ 2147483647 w 21600"/>
            <a:gd name="T1" fmla="*/ 2147483647 h 21600"/>
            <a:gd name="T2" fmla="*/ 2147483647 w 21600"/>
            <a:gd name="T3" fmla="*/ 2147483647 h 21600"/>
            <a:gd name="T4" fmla="*/ 2147483647 w 21600"/>
            <a:gd name="T5" fmla="*/ 2147483647 h 21600"/>
            <a:gd name="T6" fmla="*/ 2147483647 w 21600"/>
            <a:gd name="T7" fmla="*/ 0 h 21600"/>
            <a:gd name="T8" fmla="*/ 0 60000 65536"/>
            <a:gd name="T9" fmla="*/ 0 60000 65536"/>
            <a:gd name="T10" fmla="*/ 0 60000 65536"/>
            <a:gd name="T11" fmla="*/ 0 60000 65536"/>
            <a:gd name="T12" fmla="*/ 4500 w 21600"/>
            <a:gd name="T13" fmla="*/ 4500 h 21600"/>
            <a:gd name="T14" fmla="*/ 17100 w 21600"/>
            <a:gd name="T15" fmla="*/ 17100 h 21600"/>
          </a:gdLst>
          <a:ahLst/>
          <a:cxnLst>
            <a:cxn ang="T8">
              <a:pos x="T0" y="T1"/>
            </a:cxn>
            <a:cxn ang="T9">
              <a:pos x="T2" y="T3"/>
            </a:cxn>
            <a:cxn ang="T10">
              <a:pos x="T4" y="T5"/>
            </a:cxn>
            <a:cxn ang="T11">
              <a:pos x="T6" y="T7"/>
            </a:cxn>
          </a:cxnLst>
          <a:rect l="T12" t="T13" r="T14" b="T15"/>
          <a:pathLst>
            <a:path w="21600" h="21600">
              <a:moveTo>
                <a:pt x="0" y="0"/>
              </a:moveTo>
              <a:lnTo>
                <a:pt x="5400" y="21600"/>
              </a:lnTo>
              <a:lnTo>
                <a:pt x="16200" y="21600"/>
              </a:lnTo>
              <a:lnTo>
                <a:pt x="21600" y="0"/>
              </a:lnTo>
              <a:lnTo>
                <a:pt x="0" y="0"/>
              </a:lnTo>
              <a:close/>
            </a:path>
          </a:pathLst>
        </a:custGeom>
        <a:solidFill>
          <a:srgbClr val="0000FF"/>
        </a:solidFill>
        <a:ln w="9525">
          <a:solidFill>
            <a:srgbClr val="000000"/>
          </a:solidFill>
          <a:miter lim="800000"/>
          <a:headEnd/>
          <a:tailEnd/>
        </a:ln>
      </xdr:spPr>
    </xdr:sp>
    <xdr:clientData/>
  </xdr:twoCellAnchor>
  <xdr:oneCellAnchor>
    <xdr:from>
      <xdr:col>10</xdr:col>
      <xdr:colOff>238125</xdr:colOff>
      <xdr:row>34</xdr:row>
      <xdr:rowOff>82550</xdr:rowOff>
    </xdr:from>
    <xdr:ext cx="529877" cy="176972"/>
    <xdr:sp macro="" textlink="">
      <xdr:nvSpPr>
        <xdr:cNvPr id="18464" name="Text Box 32">
          <a:extLst>
            <a:ext uri="{FF2B5EF4-FFF2-40B4-BE49-F238E27FC236}">
              <a16:creationId xmlns:a16="http://schemas.microsoft.com/office/drawing/2014/main" id="{11F590E0-2726-4B54-8533-7777255DBD44}"/>
            </a:ext>
          </a:extLst>
        </xdr:cNvPr>
        <xdr:cNvSpPr txBox="1">
          <a:spLocks noChangeArrowheads="1"/>
        </xdr:cNvSpPr>
      </xdr:nvSpPr>
      <xdr:spPr bwMode="auto">
        <a:xfrm>
          <a:off x="6994525" y="5334000"/>
          <a:ext cx="496237"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Antenna</a:t>
          </a:r>
        </a:p>
      </xdr:txBody>
    </xdr:sp>
    <xdr:clientData/>
  </xdr:oneCellAnchor>
  <xdr:oneCellAnchor>
    <xdr:from>
      <xdr:col>8</xdr:col>
      <xdr:colOff>272519</xdr:colOff>
      <xdr:row>34</xdr:row>
      <xdr:rowOff>0</xdr:rowOff>
    </xdr:from>
    <xdr:ext cx="606663" cy="324844"/>
    <xdr:sp macro="" textlink="">
      <xdr:nvSpPr>
        <xdr:cNvPr id="18465" name="Text Box 33">
          <a:extLst>
            <a:ext uri="{FF2B5EF4-FFF2-40B4-BE49-F238E27FC236}">
              <a16:creationId xmlns:a16="http://schemas.microsoft.com/office/drawing/2014/main" id="{AFEB7F02-74B8-434D-A905-50222C602588}"/>
            </a:ext>
          </a:extLst>
        </xdr:cNvPr>
        <xdr:cNvSpPr txBox="1">
          <a:spLocks noChangeArrowheads="1"/>
        </xdr:cNvSpPr>
      </xdr:nvSpPr>
      <xdr:spPr bwMode="auto">
        <a:xfrm>
          <a:off x="5682719" y="5257800"/>
          <a:ext cx="557283" cy="330860"/>
        </a:xfrm>
        <a:prstGeom prst="rect">
          <a:avLst/>
        </a:prstGeom>
        <a:noFill/>
        <a:ln w="9525">
          <a:noFill/>
          <a:miter lim="800000"/>
          <a:headEnd/>
          <a:tailEnd/>
        </a:ln>
      </xdr:spPr>
      <xdr:txBody>
        <a:bodyPr wrap="none" lIns="18288" tIns="22860" rIns="18288" bIns="0" anchor="t" upright="1">
          <a:spAutoFit/>
        </a:bodyPr>
        <a:lstStyle/>
        <a:p>
          <a:pPr algn="ctr" rtl="1">
            <a:defRPr sz="1000"/>
          </a:pPr>
          <a:r>
            <a:rPr lang="en-US" sz="1000" b="0" i="0" strike="noStrike">
              <a:solidFill>
                <a:srgbClr val="000000"/>
              </a:solidFill>
              <a:latin typeface="Arial"/>
              <a:cs typeface="Arial"/>
            </a:rPr>
            <a:t>Matching</a:t>
          </a:r>
        </a:p>
        <a:p>
          <a:pPr algn="ctr" rtl="1">
            <a:defRPr sz="1000"/>
          </a:pPr>
          <a:r>
            <a:rPr lang="en-US" sz="1000" b="0" i="0" strike="noStrike">
              <a:solidFill>
                <a:srgbClr val="000000"/>
              </a:solidFill>
              <a:latin typeface="Arial"/>
              <a:cs typeface="Arial"/>
            </a:rPr>
            <a:t>Network</a:t>
          </a:r>
        </a:p>
      </xdr:txBody>
    </xdr:sp>
    <xdr:clientData/>
  </xdr:oneCellAnchor>
  <xdr:twoCellAnchor>
    <xdr:from>
      <xdr:col>6</xdr:col>
      <xdr:colOff>0</xdr:colOff>
      <xdr:row>33</xdr:row>
      <xdr:rowOff>12700</xdr:rowOff>
    </xdr:from>
    <xdr:to>
      <xdr:col>7</xdr:col>
      <xdr:colOff>0</xdr:colOff>
      <xdr:row>40</xdr:row>
      <xdr:rowOff>0</xdr:rowOff>
    </xdr:to>
    <xdr:sp macro="" textlink="">
      <xdr:nvSpPr>
        <xdr:cNvPr id="543070" name="Rectangle 34">
          <a:extLst>
            <a:ext uri="{FF2B5EF4-FFF2-40B4-BE49-F238E27FC236}">
              <a16:creationId xmlns:a16="http://schemas.microsoft.com/office/drawing/2014/main" id="{78B1A040-5F72-4864-9E89-968A4B8D5CE7}"/>
            </a:ext>
          </a:extLst>
        </xdr:cNvPr>
        <xdr:cNvSpPr>
          <a:spLocks noChangeArrowheads="1"/>
        </xdr:cNvSpPr>
      </xdr:nvSpPr>
      <xdr:spPr bwMode="auto">
        <a:xfrm>
          <a:off x="3695700" y="5353050"/>
          <a:ext cx="615950" cy="1098550"/>
        </a:xfrm>
        <a:prstGeom prst="rect">
          <a:avLst/>
        </a:prstGeom>
        <a:solidFill>
          <a:srgbClr val="99CCFF"/>
        </a:solidFill>
        <a:ln w="9525">
          <a:solidFill>
            <a:srgbClr val="000000"/>
          </a:solidFill>
          <a:miter lim="800000"/>
          <a:headEnd/>
          <a:tailEnd/>
        </a:ln>
      </xdr:spPr>
    </xdr:sp>
    <xdr:clientData/>
  </xdr:twoCellAnchor>
  <xdr:twoCellAnchor>
    <xdr:from>
      <xdr:col>6</xdr:col>
      <xdr:colOff>82550</xdr:colOff>
      <xdr:row>33</xdr:row>
      <xdr:rowOff>107950</xdr:rowOff>
    </xdr:from>
    <xdr:to>
      <xdr:col>6</xdr:col>
      <xdr:colOff>533400</xdr:colOff>
      <xdr:row>36</xdr:row>
      <xdr:rowOff>50800</xdr:rowOff>
    </xdr:to>
    <xdr:sp macro="" textlink="">
      <xdr:nvSpPr>
        <xdr:cNvPr id="543071" name="Oval 35">
          <a:extLst>
            <a:ext uri="{FF2B5EF4-FFF2-40B4-BE49-F238E27FC236}">
              <a16:creationId xmlns:a16="http://schemas.microsoft.com/office/drawing/2014/main" id="{BF8B8594-2C59-40E1-B754-3989C420A151}"/>
            </a:ext>
          </a:extLst>
        </xdr:cNvPr>
        <xdr:cNvSpPr>
          <a:spLocks noChangeArrowheads="1"/>
        </xdr:cNvSpPr>
      </xdr:nvSpPr>
      <xdr:spPr bwMode="auto">
        <a:xfrm>
          <a:off x="3778250" y="5448300"/>
          <a:ext cx="450850" cy="419100"/>
        </a:xfrm>
        <a:prstGeom prst="ellipse">
          <a:avLst/>
        </a:prstGeom>
        <a:solidFill>
          <a:srgbClr val="FFFF99"/>
        </a:solidFill>
        <a:ln w="9525">
          <a:solidFill>
            <a:srgbClr val="000000"/>
          </a:solidFill>
          <a:round/>
          <a:headEnd/>
          <a:tailEnd/>
        </a:ln>
      </xdr:spPr>
    </xdr:sp>
    <xdr:clientData/>
  </xdr:twoCellAnchor>
  <xdr:twoCellAnchor>
    <xdr:from>
      <xdr:col>6</xdr:col>
      <xdr:colOff>171450</xdr:colOff>
      <xdr:row>34</xdr:row>
      <xdr:rowOff>95250</xdr:rowOff>
    </xdr:from>
    <xdr:to>
      <xdr:col>6</xdr:col>
      <xdr:colOff>279400</xdr:colOff>
      <xdr:row>35</xdr:row>
      <xdr:rowOff>107950</xdr:rowOff>
    </xdr:to>
    <xdr:sp macro="" textlink="">
      <xdr:nvSpPr>
        <xdr:cNvPr id="543072" name="Line 36">
          <a:extLst>
            <a:ext uri="{FF2B5EF4-FFF2-40B4-BE49-F238E27FC236}">
              <a16:creationId xmlns:a16="http://schemas.microsoft.com/office/drawing/2014/main" id="{8A634C4E-D8F4-4EE1-A90D-053883E45838}"/>
            </a:ext>
          </a:extLst>
        </xdr:cNvPr>
        <xdr:cNvSpPr>
          <a:spLocks noChangeShapeType="1"/>
        </xdr:cNvSpPr>
      </xdr:nvSpPr>
      <xdr:spPr bwMode="auto">
        <a:xfrm flipH="1" flipV="1">
          <a:off x="3867150" y="5594350"/>
          <a:ext cx="107950" cy="171450"/>
        </a:xfrm>
        <a:prstGeom prst="line">
          <a:avLst/>
        </a:prstGeom>
        <a:noFill/>
        <a:ln w="9525">
          <a:solidFill>
            <a:srgbClr val="000000"/>
          </a:solidFill>
          <a:round/>
          <a:headEnd type="oval" w="med" len="me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488950</xdr:colOff>
      <xdr:row>34</xdr:row>
      <xdr:rowOff>120650</xdr:rowOff>
    </xdr:from>
    <xdr:to>
      <xdr:col>6</xdr:col>
      <xdr:colOff>12700</xdr:colOff>
      <xdr:row>35</xdr:row>
      <xdr:rowOff>38100</xdr:rowOff>
    </xdr:to>
    <xdr:sp macro="" textlink="">
      <xdr:nvSpPr>
        <xdr:cNvPr id="543073" name="AutoShape 37">
          <a:extLst>
            <a:ext uri="{FF2B5EF4-FFF2-40B4-BE49-F238E27FC236}">
              <a16:creationId xmlns:a16="http://schemas.microsoft.com/office/drawing/2014/main" id="{D876E9D7-165E-41FB-BA84-47687D161FD5}"/>
            </a:ext>
          </a:extLst>
        </xdr:cNvPr>
        <xdr:cNvSpPr>
          <a:spLocks noChangeArrowheads="1"/>
        </xdr:cNvSpPr>
      </xdr:nvSpPr>
      <xdr:spPr bwMode="auto">
        <a:xfrm rot="5400000">
          <a:off x="3600450" y="5588000"/>
          <a:ext cx="76200" cy="139700"/>
        </a:xfrm>
        <a:custGeom>
          <a:avLst/>
          <a:gdLst>
            <a:gd name="T0" fmla="*/ 2147483647 w 21600"/>
            <a:gd name="T1" fmla="*/ 2147483647 h 21600"/>
            <a:gd name="T2" fmla="*/ 2147483647 w 21600"/>
            <a:gd name="T3" fmla="*/ 2147483647 h 21600"/>
            <a:gd name="T4" fmla="*/ 2147483647 w 21600"/>
            <a:gd name="T5" fmla="*/ 2147483647 h 21600"/>
            <a:gd name="T6" fmla="*/ 2147483647 w 21600"/>
            <a:gd name="T7" fmla="*/ 0 h 21600"/>
            <a:gd name="T8" fmla="*/ 0 60000 65536"/>
            <a:gd name="T9" fmla="*/ 0 60000 65536"/>
            <a:gd name="T10" fmla="*/ 0 60000 65536"/>
            <a:gd name="T11" fmla="*/ 0 60000 65536"/>
            <a:gd name="T12" fmla="*/ 4500 w 21600"/>
            <a:gd name="T13" fmla="*/ 4500 h 21600"/>
            <a:gd name="T14" fmla="*/ 17100 w 21600"/>
            <a:gd name="T15" fmla="*/ 17100 h 21600"/>
          </a:gdLst>
          <a:ahLst/>
          <a:cxnLst>
            <a:cxn ang="T8">
              <a:pos x="T0" y="T1"/>
            </a:cxn>
            <a:cxn ang="T9">
              <a:pos x="T2" y="T3"/>
            </a:cxn>
            <a:cxn ang="T10">
              <a:pos x="T4" y="T5"/>
            </a:cxn>
            <a:cxn ang="T11">
              <a:pos x="T6" y="T7"/>
            </a:cxn>
          </a:cxnLst>
          <a:rect l="T12" t="T13" r="T14" b="T15"/>
          <a:pathLst>
            <a:path w="21600" h="21600">
              <a:moveTo>
                <a:pt x="0" y="0"/>
              </a:moveTo>
              <a:lnTo>
                <a:pt x="5400" y="21600"/>
              </a:lnTo>
              <a:lnTo>
                <a:pt x="16200" y="21600"/>
              </a:lnTo>
              <a:lnTo>
                <a:pt x="21600" y="0"/>
              </a:lnTo>
              <a:lnTo>
                <a:pt x="0" y="0"/>
              </a:lnTo>
              <a:close/>
            </a:path>
          </a:pathLst>
        </a:custGeom>
        <a:solidFill>
          <a:srgbClr val="0000FF"/>
        </a:solidFill>
        <a:ln w="9525">
          <a:solidFill>
            <a:srgbClr val="000000"/>
          </a:solidFill>
          <a:miter lim="800000"/>
          <a:headEnd/>
          <a:tailEnd/>
        </a:ln>
      </xdr:spPr>
    </xdr:sp>
    <xdr:clientData/>
  </xdr:twoCellAnchor>
  <xdr:twoCellAnchor>
    <xdr:from>
      <xdr:col>4</xdr:col>
      <xdr:colOff>311150</xdr:colOff>
      <xdr:row>34</xdr:row>
      <xdr:rowOff>120650</xdr:rowOff>
    </xdr:from>
    <xdr:to>
      <xdr:col>4</xdr:col>
      <xdr:colOff>444500</xdr:colOff>
      <xdr:row>35</xdr:row>
      <xdr:rowOff>38100</xdr:rowOff>
    </xdr:to>
    <xdr:sp macro="" textlink="">
      <xdr:nvSpPr>
        <xdr:cNvPr id="543074" name="AutoShape 38">
          <a:extLst>
            <a:ext uri="{FF2B5EF4-FFF2-40B4-BE49-F238E27FC236}">
              <a16:creationId xmlns:a16="http://schemas.microsoft.com/office/drawing/2014/main" id="{8116FE81-2386-4264-BB2F-2B72EC3456F8}"/>
            </a:ext>
          </a:extLst>
        </xdr:cNvPr>
        <xdr:cNvSpPr>
          <a:spLocks noChangeArrowheads="1"/>
        </xdr:cNvSpPr>
      </xdr:nvSpPr>
      <xdr:spPr bwMode="auto">
        <a:xfrm rot="-5400000">
          <a:off x="2803525" y="5591175"/>
          <a:ext cx="76200" cy="133350"/>
        </a:xfrm>
        <a:custGeom>
          <a:avLst/>
          <a:gdLst>
            <a:gd name="T0" fmla="*/ 2147483647 w 21600"/>
            <a:gd name="T1" fmla="*/ 2147483647 h 21600"/>
            <a:gd name="T2" fmla="*/ 2147483647 w 21600"/>
            <a:gd name="T3" fmla="*/ 2147483647 h 21600"/>
            <a:gd name="T4" fmla="*/ 2147483647 w 21600"/>
            <a:gd name="T5" fmla="*/ 2147483647 h 21600"/>
            <a:gd name="T6" fmla="*/ 2147483647 w 21600"/>
            <a:gd name="T7" fmla="*/ 0 h 21600"/>
            <a:gd name="T8" fmla="*/ 0 60000 65536"/>
            <a:gd name="T9" fmla="*/ 0 60000 65536"/>
            <a:gd name="T10" fmla="*/ 0 60000 65536"/>
            <a:gd name="T11" fmla="*/ 0 60000 65536"/>
            <a:gd name="T12" fmla="*/ 4500 w 21600"/>
            <a:gd name="T13" fmla="*/ 4500 h 21600"/>
            <a:gd name="T14" fmla="*/ 17100 w 21600"/>
            <a:gd name="T15" fmla="*/ 17100 h 21600"/>
          </a:gdLst>
          <a:ahLst/>
          <a:cxnLst>
            <a:cxn ang="T8">
              <a:pos x="T0" y="T1"/>
            </a:cxn>
            <a:cxn ang="T9">
              <a:pos x="T2" y="T3"/>
            </a:cxn>
            <a:cxn ang="T10">
              <a:pos x="T4" y="T5"/>
            </a:cxn>
            <a:cxn ang="T11">
              <a:pos x="T6" y="T7"/>
            </a:cxn>
          </a:cxnLst>
          <a:rect l="T12" t="T13" r="T14" b="T15"/>
          <a:pathLst>
            <a:path w="21600" h="21600">
              <a:moveTo>
                <a:pt x="0" y="0"/>
              </a:moveTo>
              <a:lnTo>
                <a:pt x="5400" y="21600"/>
              </a:lnTo>
              <a:lnTo>
                <a:pt x="16200" y="21600"/>
              </a:lnTo>
              <a:lnTo>
                <a:pt x="21600" y="0"/>
              </a:lnTo>
              <a:lnTo>
                <a:pt x="0" y="0"/>
              </a:lnTo>
              <a:close/>
            </a:path>
          </a:pathLst>
        </a:custGeom>
        <a:solidFill>
          <a:srgbClr val="0000FF"/>
        </a:solidFill>
        <a:ln w="9525">
          <a:solidFill>
            <a:srgbClr val="000000"/>
          </a:solidFill>
          <a:miter lim="800000"/>
          <a:headEnd/>
          <a:tailEnd/>
        </a:ln>
      </xdr:spPr>
    </xdr:sp>
    <xdr:clientData/>
  </xdr:twoCellAnchor>
  <xdr:twoCellAnchor>
    <xdr:from>
      <xdr:col>4</xdr:col>
      <xdr:colOff>444500</xdr:colOff>
      <xdr:row>35</xdr:row>
      <xdr:rowOff>0</xdr:rowOff>
    </xdr:from>
    <xdr:to>
      <xdr:col>5</xdr:col>
      <xdr:colOff>488950</xdr:colOff>
      <xdr:row>35</xdr:row>
      <xdr:rowOff>0</xdr:rowOff>
    </xdr:to>
    <xdr:sp macro="" textlink="">
      <xdr:nvSpPr>
        <xdr:cNvPr id="543075" name="Line 39">
          <a:extLst>
            <a:ext uri="{FF2B5EF4-FFF2-40B4-BE49-F238E27FC236}">
              <a16:creationId xmlns:a16="http://schemas.microsoft.com/office/drawing/2014/main" id="{57C21F3F-8616-4617-AA9C-DA64AAD1C57B}"/>
            </a:ext>
          </a:extLst>
        </xdr:cNvPr>
        <xdr:cNvSpPr>
          <a:spLocks noChangeShapeType="1"/>
        </xdr:cNvSpPr>
      </xdr:nvSpPr>
      <xdr:spPr bwMode="auto">
        <a:xfrm>
          <a:off x="2908300" y="5657850"/>
          <a:ext cx="66040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oneCellAnchor>
    <xdr:from>
      <xdr:col>5</xdr:col>
      <xdr:colOff>355600</xdr:colOff>
      <xdr:row>31</xdr:row>
      <xdr:rowOff>38100</xdr:rowOff>
    </xdr:from>
    <xdr:ext cx="1180581" cy="170870"/>
    <xdr:sp macro="" textlink="">
      <xdr:nvSpPr>
        <xdr:cNvPr id="18472" name="Text Box 40">
          <a:extLst>
            <a:ext uri="{FF2B5EF4-FFF2-40B4-BE49-F238E27FC236}">
              <a16:creationId xmlns:a16="http://schemas.microsoft.com/office/drawing/2014/main" id="{6EDC14A5-15A2-421F-BC27-24CA57B8A8DE}"/>
            </a:ext>
          </a:extLst>
        </xdr:cNvPr>
        <xdr:cNvSpPr txBox="1">
          <a:spLocks noChangeArrowheads="1"/>
        </xdr:cNvSpPr>
      </xdr:nvSpPr>
      <xdr:spPr bwMode="auto">
        <a:xfrm>
          <a:off x="3752850" y="4838700"/>
          <a:ext cx="1073255"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In-Line Watt Meter</a:t>
          </a:r>
        </a:p>
      </xdr:txBody>
    </xdr:sp>
    <xdr:clientData/>
  </xdr:oneCellAnchor>
  <xdr:oneCellAnchor>
    <xdr:from>
      <xdr:col>5</xdr:col>
      <xdr:colOff>225425</xdr:colOff>
      <xdr:row>44</xdr:row>
      <xdr:rowOff>0</xdr:rowOff>
    </xdr:from>
    <xdr:ext cx="1724415" cy="176972"/>
    <xdr:sp macro="" textlink="">
      <xdr:nvSpPr>
        <xdr:cNvPr id="18473" name="Text Box 41">
          <a:extLst>
            <a:ext uri="{FF2B5EF4-FFF2-40B4-BE49-F238E27FC236}">
              <a16:creationId xmlns:a16="http://schemas.microsoft.com/office/drawing/2014/main" id="{66F11AD4-80AF-4BA9-B460-2DAA862D827E}"/>
            </a:ext>
          </a:extLst>
        </xdr:cNvPr>
        <xdr:cNvSpPr txBox="1">
          <a:spLocks noChangeArrowheads="1"/>
        </xdr:cNvSpPr>
      </xdr:nvSpPr>
      <xdr:spPr bwMode="auto">
        <a:xfrm>
          <a:off x="3609975" y="6781800"/>
          <a:ext cx="1642947"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TEST</a:t>
          </a:r>
          <a:r>
            <a:rPr lang="en-US" sz="1000" b="0" i="0" strike="noStrike">
              <a:solidFill>
                <a:srgbClr val="000000"/>
              </a:solidFill>
              <a:latin typeface="Arial"/>
              <a:cs typeface="Arial"/>
            </a:rPr>
            <a:t> </a:t>
          </a:r>
          <a:r>
            <a:rPr lang="en-US" sz="1000" b="1" i="0" strike="noStrike">
              <a:solidFill>
                <a:srgbClr val="000000"/>
              </a:solidFill>
              <a:latin typeface="Arial"/>
              <a:cs typeface="Arial"/>
            </a:rPr>
            <a:t>CONFIGURATION #2 </a:t>
          </a:r>
        </a:p>
      </xdr:txBody>
    </xdr:sp>
    <xdr:clientData/>
  </xdr:oneCellAnchor>
  <xdr:twoCellAnchor>
    <xdr:from>
      <xdr:col>6</xdr:col>
      <xdr:colOff>184150</xdr:colOff>
      <xdr:row>37</xdr:row>
      <xdr:rowOff>107950</xdr:rowOff>
    </xdr:from>
    <xdr:to>
      <xdr:col>6</xdr:col>
      <xdr:colOff>419100</xdr:colOff>
      <xdr:row>39</xdr:row>
      <xdr:rowOff>0</xdr:rowOff>
    </xdr:to>
    <xdr:sp macro="" textlink="">
      <xdr:nvSpPr>
        <xdr:cNvPr id="543078" name="Oval 42">
          <a:extLst>
            <a:ext uri="{FF2B5EF4-FFF2-40B4-BE49-F238E27FC236}">
              <a16:creationId xmlns:a16="http://schemas.microsoft.com/office/drawing/2014/main" id="{28A4DBBD-636A-483F-823C-0784874EB239}"/>
            </a:ext>
          </a:extLst>
        </xdr:cNvPr>
        <xdr:cNvSpPr>
          <a:spLocks noChangeArrowheads="1"/>
        </xdr:cNvSpPr>
      </xdr:nvSpPr>
      <xdr:spPr bwMode="auto">
        <a:xfrm>
          <a:off x="3879850" y="6083300"/>
          <a:ext cx="234950" cy="209550"/>
        </a:xfrm>
        <a:prstGeom prst="ellipse">
          <a:avLst/>
        </a:prstGeom>
        <a:solidFill>
          <a:srgbClr val="FFCC00"/>
        </a:solidFill>
        <a:ln w="9525">
          <a:solidFill>
            <a:srgbClr val="000000"/>
          </a:solidFill>
          <a:round/>
          <a:headEnd/>
          <a:tailEnd/>
        </a:ln>
      </xdr:spPr>
    </xdr:sp>
    <xdr:clientData/>
  </xdr:twoCellAnchor>
  <xdr:twoCellAnchor>
    <xdr:from>
      <xdr:col>6</xdr:col>
      <xdr:colOff>222250</xdr:colOff>
      <xdr:row>38</xdr:row>
      <xdr:rowOff>50800</xdr:rowOff>
    </xdr:from>
    <xdr:to>
      <xdr:col>6</xdr:col>
      <xdr:colOff>361950</xdr:colOff>
      <xdr:row>38</xdr:row>
      <xdr:rowOff>50800</xdr:rowOff>
    </xdr:to>
    <xdr:sp macro="" textlink="">
      <xdr:nvSpPr>
        <xdr:cNvPr id="543079" name="Line 43">
          <a:extLst>
            <a:ext uri="{FF2B5EF4-FFF2-40B4-BE49-F238E27FC236}">
              <a16:creationId xmlns:a16="http://schemas.microsoft.com/office/drawing/2014/main" id="{35D7D48A-8EBD-4501-80BD-A6344F288814}"/>
            </a:ext>
          </a:extLst>
        </xdr:cNvPr>
        <xdr:cNvSpPr>
          <a:spLocks noChangeShapeType="1"/>
        </xdr:cNvSpPr>
      </xdr:nvSpPr>
      <xdr:spPr bwMode="auto">
        <a:xfrm>
          <a:off x="3917950" y="6184900"/>
          <a:ext cx="139700" cy="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501650</xdr:colOff>
      <xdr:row>37</xdr:row>
      <xdr:rowOff>107950</xdr:rowOff>
    </xdr:from>
    <xdr:to>
      <xdr:col>8</xdr:col>
      <xdr:colOff>114300</xdr:colOff>
      <xdr:row>39</xdr:row>
      <xdr:rowOff>0</xdr:rowOff>
    </xdr:to>
    <xdr:sp macro="" textlink="">
      <xdr:nvSpPr>
        <xdr:cNvPr id="543080" name="Oval 44">
          <a:extLst>
            <a:ext uri="{FF2B5EF4-FFF2-40B4-BE49-F238E27FC236}">
              <a16:creationId xmlns:a16="http://schemas.microsoft.com/office/drawing/2014/main" id="{249B8F38-30ED-4C9F-91DB-E3E883888399}"/>
            </a:ext>
          </a:extLst>
        </xdr:cNvPr>
        <xdr:cNvSpPr>
          <a:spLocks noChangeArrowheads="1"/>
        </xdr:cNvSpPr>
      </xdr:nvSpPr>
      <xdr:spPr bwMode="auto">
        <a:xfrm>
          <a:off x="4813300" y="6083300"/>
          <a:ext cx="228600" cy="209550"/>
        </a:xfrm>
        <a:prstGeom prst="ellipse">
          <a:avLst/>
        </a:prstGeom>
        <a:solidFill>
          <a:srgbClr val="FFCC00"/>
        </a:solidFill>
        <a:ln w="9525">
          <a:solidFill>
            <a:srgbClr val="000000"/>
          </a:solidFill>
          <a:round/>
          <a:headEnd/>
          <a:tailEnd/>
        </a:ln>
      </xdr:spPr>
    </xdr:sp>
    <xdr:clientData/>
  </xdr:twoCellAnchor>
  <xdr:twoCellAnchor>
    <xdr:from>
      <xdr:col>7</xdr:col>
      <xdr:colOff>533400</xdr:colOff>
      <xdr:row>38</xdr:row>
      <xdr:rowOff>50800</xdr:rowOff>
    </xdr:from>
    <xdr:to>
      <xdr:col>8</xdr:col>
      <xdr:colOff>57150</xdr:colOff>
      <xdr:row>38</xdr:row>
      <xdr:rowOff>50800</xdr:rowOff>
    </xdr:to>
    <xdr:sp macro="" textlink="">
      <xdr:nvSpPr>
        <xdr:cNvPr id="543081" name="Line 45">
          <a:extLst>
            <a:ext uri="{FF2B5EF4-FFF2-40B4-BE49-F238E27FC236}">
              <a16:creationId xmlns:a16="http://schemas.microsoft.com/office/drawing/2014/main" id="{A7781E4D-19C5-4A89-9DC6-E1E0B5419DB0}"/>
            </a:ext>
          </a:extLst>
        </xdr:cNvPr>
        <xdr:cNvSpPr>
          <a:spLocks noChangeShapeType="1"/>
        </xdr:cNvSpPr>
      </xdr:nvSpPr>
      <xdr:spPr bwMode="auto">
        <a:xfrm>
          <a:off x="4845050" y="6184900"/>
          <a:ext cx="139700" cy="0"/>
        </a:xfrm>
        <a:prstGeom prst="line">
          <a:avLst/>
        </a:prstGeom>
        <a:noFill/>
        <a:ln w="9525">
          <a:solidFill>
            <a:srgbClr val="FF0000"/>
          </a:solidFill>
          <a:round/>
          <a:headEnd type="triangle" w="med" len="med"/>
          <a:tailEnd/>
        </a:ln>
        <a:extLst>
          <a:ext uri="{909E8E84-426E-40DD-AFC4-6F175D3DCCD1}">
            <a14:hiddenFill xmlns:a14="http://schemas.microsoft.com/office/drawing/2010/main">
              <a:noFill/>
            </a14:hiddenFill>
          </a:ext>
        </a:extLst>
      </xdr:spPr>
    </xdr:sp>
    <xdr:clientData/>
  </xdr:twoCellAnchor>
  <xdr:oneCellAnchor>
    <xdr:from>
      <xdr:col>7</xdr:col>
      <xdr:colOff>142875</xdr:colOff>
      <xdr:row>37</xdr:row>
      <xdr:rowOff>117475</xdr:rowOff>
    </xdr:from>
    <xdr:ext cx="289182" cy="170560"/>
    <xdr:sp macro="" textlink="">
      <xdr:nvSpPr>
        <xdr:cNvPr id="18478" name="Text Box 46">
          <a:extLst>
            <a:ext uri="{FF2B5EF4-FFF2-40B4-BE49-F238E27FC236}">
              <a16:creationId xmlns:a16="http://schemas.microsoft.com/office/drawing/2014/main" id="{BAFA3E61-0E56-49A4-B4DA-8F62B67C3425}"/>
            </a:ext>
          </a:extLst>
        </xdr:cNvPr>
        <xdr:cNvSpPr txBox="1">
          <a:spLocks noChangeArrowheads="1"/>
        </xdr:cNvSpPr>
      </xdr:nvSpPr>
      <xdr:spPr bwMode="auto">
        <a:xfrm>
          <a:off x="4469342" y="6162675"/>
          <a:ext cx="289182"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AND</a:t>
          </a:r>
        </a:p>
      </xdr:txBody>
    </xdr:sp>
    <xdr:clientData/>
  </xdr:oneCellAnchor>
  <xdr:oneCellAnchor>
    <xdr:from>
      <xdr:col>4</xdr:col>
      <xdr:colOff>463550</xdr:colOff>
      <xdr:row>37</xdr:row>
      <xdr:rowOff>146050</xdr:rowOff>
    </xdr:from>
    <xdr:ext cx="652615" cy="170560"/>
    <xdr:sp macro="" textlink="">
      <xdr:nvSpPr>
        <xdr:cNvPr id="18479" name="Text Box 47">
          <a:extLst>
            <a:ext uri="{FF2B5EF4-FFF2-40B4-BE49-F238E27FC236}">
              <a16:creationId xmlns:a16="http://schemas.microsoft.com/office/drawing/2014/main" id="{F5055516-CC90-40CA-910B-0FF6EED0E393}"/>
            </a:ext>
          </a:extLst>
        </xdr:cNvPr>
        <xdr:cNvSpPr txBox="1">
          <a:spLocks noChangeArrowheads="1"/>
        </xdr:cNvSpPr>
      </xdr:nvSpPr>
      <xdr:spPr bwMode="auto">
        <a:xfrm>
          <a:off x="2935817" y="6191250"/>
          <a:ext cx="65261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MEASURE</a:t>
          </a:r>
        </a:p>
      </xdr:txBody>
    </xdr:sp>
    <xdr:clientData/>
  </xdr:oneCellAnchor>
  <xdr:oneCellAnchor>
    <xdr:from>
      <xdr:col>8</xdr:col>
      <xdr:colOff>152400</xdr:colOff>
      <xdr:row>37</xdr:row>
      <xdr:rowOff>127000</xdr:rowOff>
    </xdr:from>
    <xdr:ext cx="1511269" cy="196636"/>
    <xdr:sp macro="" textlink="">
      <xdr:nvSpPr>
        <xdr:cNvPr id="18480" name="Text Box 48">
          <a:extLst>
            <a:ext uri="{FF2B5EF4-FFF2-40B4-BE49-F238E27FC236}">
              <a16:creationId xmlns:a16="http://schemas.microsoft.com/office/drawing/2014/main" id="{4A6BB3EB-7C12-4E56-B023-14BE9AC893A9}"/>
            </a:ext>
          </a:extLst>
        </xdr:cNvPr>
        <xdr:cNvSpPr txBox="1">
          <a:spLocks noChangeArrowheads="1"/>
        </xdr:cNvSpPr>
      </xdr:nvSpPr>
      <xdr:spPr bwMode="auto">
        <a:xfrm>
          <a:off x="5583767" y="5835650"/>
          <a:ext cx="1407757"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TO DETERMINE VSWR</a:t>
          </a:r>
        </a:p>
      </xdr:txBody>
    </xdr:sp>
    <xdr:clientData/>
  </xdr:oneCellAnchor>
  <xdr:twoCellAnchor>
    <xdr:from>
      <xdr:col>9</xdr:col>
      <xdr:colOff>82550</xdr:colOff>
      <xdr:row>13</xdr:row>
      <xdr:rowOff>82550</xdr:rowOff>
    </xdr:from>
    <xdr:to>
      <xdr:col>9</xdr:col>
      <xdr:colOff>603250</xdr:colOff>
      <xdr:row>13</xdr:row>
      <xdr:rowOff>82550</xdr:rowOff>
    </xdr:to>
    <xdr:sp macro="" textlink="">
      <xdr:nvSpPr>
        <xdr:cNvPr id="543085" name="Line 51">
          <a:extLst>
            <a:ext uri="{FF2B5EF4-FFF2-40B4-BE49-F238E27FC236}">
              <a16:creationId xmlns:a16="http://schemas.microsoft.com/office/drawing/2014/main" id="{36040F15-A1CC-4966-B920-6848D37EB96D}"/>
            </a:ext>
          </a:extLst>
        </xdr:cNvPr>
        <xdr:cNvSpPr>
          <a:spLocks noChangeShapeType="1"/>
        </xdr:cNvSpPr>
      </xdr:nvSpPr>
      <xdr:spPr bwMode="auto">
        <a:xfrm flipH="1">
          <a:off x="5626100" y="2228850"/>
          <a:ext cx="5207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17</xdr:col>
      <xdr:colOff>266700</xdr:colOff>
      <xdr:row>6</xdr:row>
      <xdr:rowOff>146050</xdr:rowOff>
    </xdr:from>
    <xdr:to>
      <xdr:col>17</xdr:col>
      <xdr:colOff>266700</xdr:colOff>
      <xdr:row>35</xdr:row>
      <xdr:rowOff>82550</xdr:rowOff>
    </xdr:to>
    <xdr:sp macro="" textlink="">
      <xdr:nvSpPr>
        <xdr:cNvPr id="543086" name="Line 52">
          <a:extLst>
            <a:ext uri="{FF2B5EF4-FFF2-40B4-BE49-F238E27FC236}">
              <a16:creationId xmlns:a16="http://schemas.microsoft.com/office/drawing/2014/main" id="{6ABD364E-32DD-486A-ACB5-D114AAE849DE}"/>
            </a:ext>
          </a:extLst>
        </xdr:cNvPr>
        <xdr:cNvSpPr>
          <a:spLocks noChangeShapeType="1"/>
        </xdr:cNvSpPr>
      </xdr:nvSpPr>
      <xdr:spPr bwMode="auto">
        <a:xfrm flipV="1">
          <a:off x="10490200" y="1174750"/>
          <a:ext cx="0" cy="45656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9</xdr:col>
      <xdr:colOff>254000</xdr:colOff>
      <xdr:row>6</xdr:row>
      <xdr:rowOff>146050</xdr:rowOff>
    </xdr:from>
    <xdr:to>
      <xdr:col>17</xdr:col>
      <xdr:colOff>279400</xdr:colOff>
      <xdr:row>6</xdr:row>
      <xdr:rowOff>146050</xdr:rowOff>
    </xdr:to>
    <xdr:sp macro="" textlink="">
      <xdr:nvSpPr>
        <xdr:cNvPr id="543087" name="Line 53">
          <a:extLst>
            <a:ext uri="{FF2B5EF4-FFF2-40B4-BE49-F238E27FC236}">
              <a16:creationId xmlns:a16="http://schemas.microsoft.com/office/drawing/2014/main" id="{06A45894-1CF8-4FD6-BC5C-59312E7B6259}"/>
            </a:ext>
          </a:extLst>
        </xdr:cNvPr>
        <xdr:cNvSpPr>
          <a:spLocks noChangeShapeType="1"/>
        </xdr:cNvSpPr>
      </xdr:nvSpPr>
      <xdr:spPr bwMode="auto">
        <a:xfrm flipH="1" flipV="1">
          <a:off x="5797550" y="1174750"/>
          <a:ext cx="47053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17</xdr:col>
      <xdr:colOff>0</xdr:colOff>
      <xdr:row>35</xdr:row>
      <xdr:rowOff>82550</xdr:rowOff>
    </xdr:from>
    <xdr:to>
      <xdr:col>17</xdr:col>
      <xdr:colOff>266700</xdr:colOff>
      <xdr:row>35</xdr:row>
      <xdr:rowOff>82550</xdr:rowOff>
    </xdr:to>
    <xdr:sp macro="" textlink="">
      <xdr:nvSpPr>
        <xdr:cNvPr id="543088" name="Line 54">
          <a:extLst>
            <a:ext uri="{FF2B5EF4-FFF2-40B4-BE49-F238E27FC236}">
              <a16:creationId xmlns:a16="http://schemas.microsoft.com/office/drawing/2014/main" id="{A16CCC1D-B712-4D7B-96EB-2DEA34445B6B}"/>
            </a:ext>
          </a:extLst>
        </xdr:cNvPr>
        <xdr:cNvSpPr>
          <a:spLocks noChangeShapeType="1"/>
        </xdr:cNvSpPr>
      </xdr:nvSpPr>
      <xdr:spPr bwMode="auto">
        <a:xfrm>
          <a:off x="10223500" y="5740400"/>
          <a:ext cx="2667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9</xdr:col>
      <xdr:colOff>12700</xdr:colOff>
      <xdr:row>6</xdr:row>
      <xdr:rowOff>146050</xdr:rowOff>
    </xdr:from>
    <xdr:to>
      <xdr:col>9</xdr:col>
      <xdr:colOff>254000</xdr:colOff>
      <xdr:row>7</xdr:row>
      <xdr:rowOff>95250</xdr:rowOff>
    </xdr:to>
    <xdr:sp macro="" textlink="">
      <xdr:nvSpPr>
        <xdr:cNvPr id="543089" name="Line 55">
          <a:extLst>
            <a:ext uri="{FF2B5EF4-FFF2-40B4-BE49-F238E27FC236}">
              <a16:creationId xmlns:a16="http://schemas.microsoft.com/office/drawing/2014/main" id="{29E7A5EB-52B5-4B3F-A84C-02CB4B228E7C}"/>
            </a:ext>
          </a:extLst>
        </xdr:cNvPr>
        <xdr:cNvSpPr>
          <a:spLocks noChangeShapeType="1"/>
        </xdr:cNvSpPr>
      </xdr:nvSpPr>
      <xdr:spPr bwMode="auto">
        <a:xfrm flipH="1">
          <a:off x="5556250" y="1174750"/>
          <a:ext cx="241300" cy="1079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5</xdr:col>
      <xdr:colOff>161925</xdr:colOff>
      <xdr:row>27</xdr:row>
      <xdr:rowOff>146050</xdr:rowOff>
    </xdr:from>
    <xdr:ext cx="1739805" cy="171073"/>
    <xdr:sp macro="" textlink="">
      <xdr:nvSpPr>
        <xdr:cNvPr id="18488" name="Text Box 56">
          <a:extLst>
            <a:ext uri="{FF2B5EF4-FFF2-40B4-BE49-F238E27FC236}">
              <a16:creationId xmlns:a16="http://schemas.microsoft.com/office/drawing/2014/main" id="{247C6EC9-0CAA-4FCA-963A-6C094AE5E5A4}"/>
            </a:ext>
          </a:extLst>
        </xdr:cNvPr>
        <xdr:cNvSpPr txBox="1">
          <a:spLocks noChangeArrowheads="1"/>
        </xdr:cNvSpPr>
      </xdr:nvSpPr>
      <xdr:spPr bwMode="auto">
        <a:xfrm>
          <a:off x="3540125" y="4330700"/>
          <a:ext cx="1642947"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TEST CONFIGURATION #1</a:t>
          </a:r>
        </a:p>
      </xdr:txBody>
    </xdr:sp>
    <xdr:clientData/>
  </xdr:oneCellAnchor>
  <xdr:twoCellAnchor>
    <xdr:from>
      <xdr:col>15</xdr:col>
      <xdr:colOff>0</xdr:colOff>
      <xdr:row>22</xdr:row>
      <xdr:rowOff>82550</xdr:rowOff>
    </xdr:from>
    <xdr:to>
      <xdr:col>17</xdr:col>
      <xdr:colOff>266700</xdr:colOff>
      <xdr:row>22</xdr:row>
      <xdr:rowOff>82550</xdr:rowOff>
    </xdr:to>
    <xdr:sp macro="" textlink="">
      <xdr:nvSpPr>
        <xdr:cNvPr id="543091" name="Line 57">
          <a:extLst>
            <a:ext uri="{FF2B5EF4-FFF2-40B4-BE49-F238E27FC236}">
              <a16:creationId xmlns:a16="http://schemas.microsoft.com/office/drawing/2014/main" id="{BB67AC37-28CB-4E99-BEC4-D5CF31D00AA7}"/>
            </a:ext>
          </a:extLst>
        </xdr:cNvPr>
        <xdr:cNvSpPr>
          <a:spLocks noChangeShapeType="1"/>
        </xdr:cNvSpPr>
      </xdr:nvSpPr>
      <xdr:spPr bwMode="auto">
        <a:xfrm>
          <a:off x="9353550" y="3676650"/>
          <a:ext cx="11366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14</xdr:col>
      <xdr:colOff>349250</xdr:colOff>
      <xdr:row>32</xdr:row>
      <xdr:rowOff>146050</xdr:rowOff>
    </xdr:from>
    <xdr:to>
      <xdr:col>14</xdr:col>
      <xdr:colOff>584200</xdr:colOff>
      <xdr:row>34</xdr:row>
      <xdr:rowOff>38100</xdr:rowOff>
    </xdr:to>
    <xdr:sp macro="" textlink="">
      <xdr:nvSpPr>
        <xdr:cNvPr id="543092" name="Oval 60">
          <a:extLst>
            <a:ext uri="{FF2B5EF4-FFF2-40B4-BE49-F238E27FC236}">
              <a16:creationId xmlns:a16="http://schemas.microsoft.com/office/drawing/2014/main" id="{118DBBC1-E6D6-4E04-AFC0-17F7E0F5D0A6}"/>
            </a:ext>
          </a:extLst>
        </xdr:cNvPr>
        <xdr:cNvSpPr>
          <a:spLocks noChangeArrowheads="1"/>
        </xdr:cNvSpPr>
      </xdr:nvSpPr>
      <xdr:spPr bwMode="auto">
        <a:xfrm>
          <a:off x="9086850" y="5327650"/>
          <a:ext cx="234950" cy="209550"/>
        </a:xfrm>
        <a:prstGeom prst="ellipse">
          <a:avLst/>
        </a:prstGeom>
        <a:solidFill>
          <a:srgbClr val="FFCC00"/>
        </a:solidFill>
        <a:ln w="9525">
          <a:solidFill>
            <a:srgbClr val="000000"/>
          </a:solidFill>
          <a:round/>
          <a:headEnd/>
          <a:tailEnd/>
        </a:ln>
      </xdr:spPr>
    </xdr:sp>
    <xdr:clientData/>
  </xdr:twoCellAnchor>
  <xdr:twoCellAnchor>
    <xdr:from>
      <xdr:col>14</xdr:col>
      <xdr:colOff>336550</xdr:colOff>
      <xdr:row>30</xdr:row>
      <xdr:rowOff>146050</xdr:rowOff>
    </xdr:from>
    <xdr:to>
      <xdr:col>14</xdr:col>
      <xdr:colOff>571500</xdr:colOff>
      <xdr:row>32</xdr:row>
      <xdr:rowOff>50800</xdr:rowOff>
    </xdr:to>
    <xdr:sp macro="" textlink="">
      <xdr:nvSpPr>
        <xdr:cNvPr id="543093" name="Oval 61">
          <a:extLst>
            <a:ext uri="{FF2B5EF4-FFF2-40B4-BE49-F238E27FC236}">
              <a16:creationId xmlns:a16="http://schemas.microsoft.com/office/drawing/2014/main" id="{84EAEFF6-E8F7-4E21-A8C3-3800AE423D2E}"/>
            </a:ext>
          </a:extLst>
        </xdr:cNvPr>
        <xdr:cNvSpPr>
          <a:spLocks noChangeArrowheads="1"/>
        </xdr:cNvSpPr>
      </xdr:nvSpPr>
      <xdr:spPr bwMode="auto">
        <a:xfrm>
          <a:off x="9074150" y="5010150"/>
          <a:ext cx="234950" cy="222250"/>
        </a:xfrm>
        <a:prstGeom prst="ellipse">
          <a:avLst/>
        </a:prstGeom>
        <a:solidFill>
          <a:srgbClr val="FFCC00"/>
        </a:solidFill>
        <a:ln w="9525">
          <a:solidFill>
            <a:srgbClr val="000000"/>
          </a:solidFill>
          <a:round/>
          <a:headEnd/>
          <a:tailEnd/>
        </a:ln>
      </xdr:spPr>
    </xdr:sp>
    <xdr:clientData/>
  </xdr:twoCellAnchor>
  <xdr:twoCellAnchor>
    <xdr:from>
      <xdr:col>14</xdr:col>
      <xdr:colOff>381000</xdr:colOff>
      <xdr:row>31</xdr:row>
      <xdr:rowOff>82550</xdr:rowOff>
    </xdr:from>
    <xdr:to>
      <xdr:col>14</xdr:col>
      <xdr:colOff>520700</xdr:colOff>
      <xdr:row>31</xdr:row>
      <xdr:rowOff>82550</xdr:rowOff>
    </xdr:to>
    <xdr:sp macro="" textlink="">
      <xdr:nvSpPr>
        <xdr:cNvPr id="543094" name="Line 62">
          <a:extLst>
            <a:ext uri="{FF2B5EF4-FFF2-40B4-BE49-F238E27FC236}">
              <a16:creationId xmlns:a16="http://schemas.microsoft.com/office/drawing/2014/main" id="{DA3BDDB7-7FE5-4FEF-BC3B-77C7D066CB8C}"/>
            </a:ext>
          </a:extLst>
        </xdr:cNvPr>
        <xdr:cNvSpPr>
          <a:spLocks noChangeShapeType="1"/>
        </xdr:cNvSpPr>
      </xdr:nvSpPr>
      <xdr:spPr bwMode="auto">
        <a:xfrm>
          <a:off x="9118600" y="5105400"/>
          <a:ext cx="139700" cy="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14</xdr:col>
      <xdr:colOff>381000</xdr:colOff>
      <xdr:row>33</xdr:row>
      <xdr:rowOff>82550</xdr:rowOff>
    </xdr:from>
    <xdr:to>
      <xdr:col>14</xdr:col>
      <xdr:colOff>520700</xdr:colOff>
      <xdr:row>33</xdr:row>
      <xdr:rowOff>82550</xdr:rowOff>
    </xdr:to>
    <xdr:sp macro="" textlink="">
      <xdr:nvSpPr>
        <xdr:cNvPr id="543095" name="Line 63">
          <a:extLst>
            <a:ext uri="{FF2B5EF4-FFF2-40B4-BE49-F238E27FC236}">
              <a16:creationId xmlns:a16="http://schemas.microsoft.com/office/drawing/2014/main" id="{2E5D967B-067B-47B1-B3E3-DE7513102FF5}"/>
            </a:ext>
          </a:extLst>
        </xdr:cNvPr>
        <xdr:cNvSpPr>
          <a:spLocks noChangeShapeType="1"/>
        </xdr:cNvSpPr>
      </xdr:nvSpPr>
      <xdr:spPr bwMode="auto">
        <a:xfrm>
          <a:off x="9118600" y="5422900"/>
          <a:ext cx="139700" cy="0"/>
        </a:xfrm>
        <a:prstGeom prst="line">
          <a:avLst/>
        </a:prstGeom>
        <a:noFill/>
        <a:ln w="9525">
          <a:solidFill>
            <a:srgbClr val="FF0000"/>
          </a:solidFill>
          <a:round/>
          <a:headEnd type="triangle" w="med" len="med"/>
          <a:tailEnd/>
        </a:ln>
        <a:extLst>
          <a:ext uri="{909E8E84-426E-40DD-AFC4-6F175D3DCCD1}">
            <a14:hiddenFill xmlns:a14="http://schemas.microsoft.com/office/drawing/2010/main">
              <a:noFill/>
            </a14:hiddenFill>
          </a:ext>
        </a:extLst>
      </xdr:spPr>
    </xdr:sp>
    <xdr:clientData/>
  </xdr:twoCellAnchor>
  <xdr:twoCellAnchor>
    <xdr:from>
      <xdr:col>9</xdr:col>
      <xdr:colOff>0</xdr:colOff>
      <xdr:row>9</xdr:row>
      <xdr:rowOff>82550</xdr:rowOff>
    </xdr:from>
    <xdr:to>
      <xdr:col>9</xdr:col>
      <xdr:colOff>603250</xdr:colOff>
      <xdr:row>9</xdr:row>
      <xdr:rowOff>82550</xdr:rowOff>
    </xdr:to>
    <xdr:sp macro="" textlink="">
      <xdr:nvSpPr>
        <xdr:cNvPr id="543096" name="Line 64">
          <a:extLst>
            <a:ext uri="{FF2B5EF4-FFF2-40B4-BE49-F238E27FC236}">
              <a16:creationId xmlns:a16="http://schemas.microsoft.com/office/drawing/2014/main" id="{C429C67B-4331-4A62-AC8F-2FA2CFFC9F74}"/>
            </a:ext>
          </a:extLst>
        </xdr:cNvPr>
        <xdr:cNvSpPr>
          <a:spLocks noChangeShapeType="1"/>
        </xdr:cNvSpPr>
      </xdr:nvSpPr>
      <xdr:spPr bwMode="auto">
        <a:xfrm>
          <a:off x="5543550" y="1593850"/>
          <a:ext cx="6032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9</xdr:col>
      <xdr:colOff>12700</xdr:colOff>
      <xdr:row>11</xdr:row>
      <xdr:rowOff>82550</xdr:rowOff>
    </xdr:from>
    <xdr:to>
      <xdr:col>10</xdr:col>
      <xdr:colOff>0</xdr:colOff>
      <xdr:row>11</xdr:row>
      <xdr:rowOff>82550</xdr:rowOff>
    </xdr:to>
    <xdr:sp macro="" textlink="">
      <xdr:nvSpPr>
        <xdr:cNvPr id="543097" name="Line 65">
          <a:extLst>
            <a:ext uri="{FF2B5EF4-FFF2-40B4-BE49-F238E27FC236}">
              <a16:creationId xmlns:a16="http://schemas.microsoft.com/office/drawing/2014/main" id="{00BECB70-6450-4781-9C30-A6429FAF6C6B}"/>
            </a:ext>
          </a:extLst>
        </xdr:cNvPr>
        <xdr:cNvSpPr>
          <a:spLocks noChangeShapeType="1"/>
        </xdr:cNvSpPr>
      </xdr:nvSpPr>
      <xdr:spPr bwMode="auto">
        <a:xfrm>
          <a:off x="5556250" y="1911350"/>
          <a:ext cx="6032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101600</xdr:colOff>
      <xdr:row>33</xdr:row>
      <xdr:rowOff>0</xdr:rowOff>
    </xdr:from>
    <xdr:to>
      <xdr:col>0</xdr:col>
      <xdr:colOff>184150</xdr:colOff>
      <xdr:row>34</xdr:row>
      <xdr:rowOff>38100</xdr:rowOff>
    </xdr:to>
    <xdr:sp macro="" textlink="">
      <xdr:nvSpPr>
        <xdr:cNvPr id="522136" name="Text Box 1">
          <a:extLst>
            <a:ext uri="{FF2B5EF4-FFF2-40B4-BE49-F238E27FC236}">
              <a16:creationId xmlns:a16="http://schemas.microsoft.com/office/drawing/2014/main" id="{5F3E2276-D617-4ECD-97F3-170CB16594A4}"/>
            </a:ext>
          </a:extLst>
        </xdr:cNvPr>
        <xdr:cNvSpPr txBox="1">
          <a:spLocks noChangeArrowheads="1"/>
        </xdr:cNvSpPr>
      </xdr:nvSpPr>
      <xdr:spPr bwMode="auto">
        <a:xfrm>
          <a:off x="101600" y="5492750"/>
          <a:ext cx="82550" cy="203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165100</xdr:colOff>
      <xdr:row>29</xdr:row>
      <xdr:rowOff>82550</xdr:rowOff>
    </xdr:from>
    <xdr:to>
      <xdr:col>0</xdr:col>
      <xdr:colOff>241300</xdr:colOff>
      <xdr:row>30</xdr:row>
      <xdr:rowOff>107950</xdr:rowOff>
    </xdr:to>
    <xdr:sp macro="" textlink="">
      <xdr:nvSpPr>
        <xdr:cNvPr id="522137" name="Text Box 4">
          <a:extLst>
            <a:ext uri="{FF2B5EF4-FFF2-40B4-BE49-F238E27FC236}">
              <a16:creationId xmlns:a16="http://schemas.microsoft.com/office/drawing/2014/main" id="{BCB688CF-32E2-47C1-9FC5-867247350F64}"/>
            </a:ext>
          </a:extLst>
        </xdr:cNvPr>
        <xdr:cNvSpPr txBox="1">
          <a:spLocks noChangeArrowheads="1"/>
        </xdr:cNvSpPr>
      </xdr:nvSpPr>
      <xdr:spPr bwMode="auto">
        <a:xfrm>
          <a:off x="165100" y="4940300"/>
          <a:ext cx="76200" cy="184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xdr:col>
      <xdr:colOff>12700</xdr:colOff>
      <xdr:row>13</xdr:row>
      <xdr:rowOff>184150</xdr:rowOff>
    </xdr:from>
    <xdr:to>
      <xdr:col>16</xdr:col>
      <xdr:colOff>336550</xdr:colOff>
      <xdr:row>36</xdr:row>
      <xdr:rowOff>152400</xdr:rowOff>
    </xdr:to>
    <xdr:graphicFrame macro="">
      <xdr:nvGraphicFramePr>
        <xdr:cNvPr id="522138" name="Chart 9">
          <a:extLst>
            <a:ext uri="{FF2B5EF4-FFF2-40B4-BE49-F238E27FC236}">
              <a16:creationId xmlns:a16="http://schemas.microsoft.com/office/drawing/2014/main" id="{C89BB1C3-EE51-48F7-B9F7-9668CCB76F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508000</xdr:colOff>
      <xdr:row>17</xdr:row>
      <xdr:rowOff>50800</xdr:rowOff>
    </xdr:from>
    <xdr:to>
      <xdr:col>9</xdr:col>
      <xdr:colOff>508000</xdr:colOff>
      <xdr:row>27</xdr:row>
      <xdr:rowOff>107950</xdr:rowOff>
    </xdr:to>
    <xdr:sp macro="" textlink="">
      <xdr:nvSpPr>
        <xdr:cNvPr id="522139" name="Line 11">
          <a:extLst>
            <a:ext uri="{FF2B5EF4-FFF2-40B4-BE49-F238E27FC236}">
              <a16:creationId xmlns:a16="http://schemas.microsoft.com/office/drawing/2014/main" id="{DA61F399-FC51-40DC-8872-2AEA1C254C18}"/>
            </a:ext>
          </a:extLst>
        </xdr:cNvPr>
        <xdr:cNvSpPr>
          <a:spLocks noChangeShapeType="1"/>
        </xdr:cNvSpPr>
      </xdr:nvSpPr>
      <xdr:spPr bwMode="auto">
        <a:xfrm flipH="1">
          <a:off x="8775700" y="3003550"/>
          <a:ext cx="0" cy="1644650"/>
        </a:xfrm>
        <a:prstGeom prst="line">
          <a:avLst/>
        </a:prstGeom>
        <a:noFill/>
        <a:ln w="2857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9</xdr:col>
      <xdr:colOff>508000</xdr:colOff>
      <xdr:row>15</xdr:row>
      <xdr:rowOff>0</xdr:rowOff>
    </xdr:from>
    <xdr:to>
      <xdr:col>9</xdr:col>
      <xdr:colOff>508000</xdr:colOff>
      <xdr:row>35</xdr:row>
      <xdr:rowOff>107950</xdr:rowOff>
    </xdr:to>
    <xdr:sp macro="" textlink="">
      <xdr:nvSpPr>
        <xdr:cNvPr id="522140" name="Line 12">
          <a:extLst>
            <a:ext uri="{FF2B5EF4-FFF2-40B4-BE49-F238E27FC236}">
              <a16:creationId xmlns:a16="http://schemas.microsoft.com/office/drawing/2014/main" id="{EF4E01EF-2FF2-4FE3-97EE-F572D4AD182C}"/>
            </a:ext>
          </a:extLst>
        </xdr:cNvPr>
        <xdr:cNvSpPr>
          <a:spLocks noChangeShapeType="1"/>
        </xdr:cNvSpPr>
      </xdr:nvSpPr>
      <xdr:spPr bwMode="auto">
        <a:xfrm>
          <a:off x="8775700" y="2622550"/>
          <a:ext cx="0" cy="330835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234950</xdr:colOff>
      <xdr:row>16</xdr:row>
      <xdr:rowOff>82550</xdr:rowOff>
    </xdr:from>
    <xdr:to>
      <xdr:col>9</xdr:col>
      <xdr:colOff>476250</xdr:colOff>
      <xdr:row>32</xdr:row>
      <xdr:rowOff>12700</xdr:rowOff>
    </xdr:to>
    <xdr:sp macro="" textlink="">
      <xdr:nvSpPr>
        <xdr:cNvPr id="522141" name="Line 15">
          <a:extLst>
            <a:ext uri="{FF2B5EF4-FFF2-40B4-BE49-F238E27FC236}">
              <a16:creationId xmlns:a16="http://schemas.microsoft.com/office/drawing/2014/main" id="{9C8F87E5-53C8-424B-B008-DF7A4573259F}"/>
            </a:ext>
          </a:extLst>
        </xdr:cNvPr>
        <xdr:cNvSpPr>
          <a:spLocks noChangeShapeType="1"/>
        </xdr:cNvSpPr>
      </xdr:nvSpPr>
      <xdr:spPr bwMode="auto">
        <a:xfrm flipV="1">
          <a:off x="4451350" y="2870200"/>
          <a:ext cx="4292600" cy="24765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234950</xdr:colOff>
      <xdr:row>26</xdr:row>
      <xdr:rowOff>63500</xdr:rowOff>
    </xdr:from>
    <xdr:to>
      <xdr:col>7</xdr:col>
      <xdr:colOff>127000</xdr:colOff>
      <xdr:row>32</xdr:row>
      <xdr:rowOff>12700</xdr:rowOff>
    </xdr:to>
    <xdr:sp macro="" textlink="">
      <xdr:nvSpPr>
        <xdr:cNvPr id="522142" name="Line 16">
          <a:extLst>
            <a:ext uri="{FF2B5EF4-FFF2-40B4-BE49-F238E27FC236}">
              <a16:creationId xmlns:a16="http://schemas.microsoft.com/office/drawing/2014/main" id="{92B05D89-207B-4499-84F6-D29000BD70D1}"/>
            </a:ext>
          </a:extLst>
        </xdr:cNvPr>
        <xdr:cNvSpPr>
          <a:spLocks noChangeShapeType="1"/>
        </xdr:cNvSpPr>
      </xdr:nvSpPr>
      <xdr:spPr bwMode="auto">
        <a:xfrm flipV="1">
          <a:off x="4451350" y="4445000"/>
          <a:ext cx="2711450" cy="90170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361950</xdr:colOff>
      <xdr:row>16</xdr:row>
      <xdr:rowOff>57150</xdr:rowOff>
    </xdr:from>
    <xdr:to>
      <xdr:col>9</xdr:col>
      <xdr:colOff>508000</xdr:colOff>
      <xdr:row>16</xdr:row>
      <xdr:rowOff>57150</xdr:rowOff>
    </xdr:to>
    <xdr:sp macro="" textlink="">
      <xdr:nvSpPr>
        <xdr:cNvPr id="522143" name="Line 17">
          <a:extLst>
            <a:ext uri="{FF2B5EF4-FFF2-40B4-BE49-F238E27FC236}">
              <a16:creationId xmlns:a16="http://schemas.microsoft.com/office/drawing/2014/main" id="{CF056A75-70C9-42A3-A32C-C4068C06C2A3}"/>
            </a:ext>
          </a:extLst>
        </xdr:cNvPr>
        <xdr:cNvSpPr>
          <a:spLocks noChangeShapeType="1"/>
        </xdr:cNvSpPr>
      </xdr:nvSpPr>
      <xdr:spPr bwMode="auto">
        <a:xfrm flipH="1" flipV="1">
          <a:off x="8013700" y="2844800"/>
          <a:ext cx="7620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234950</xdr:colOff>
      <xdr:row>32</xdr:row>
      <xdr:rowOff>63500</xdr:rowOff>
    </xdr:from>
    <xdr:to>
      <xdr:col>3</xdr:col>
      <xdr:colOff>501650</xdr:colOff>
      <xdr:row>36</xdr:row>
      <xdr:rowOff>50800</xdr:rowOff>
    </xdr:to>
    <xdr:sp macro="" textlink="">
      <xdr:nvSpPr>
        <xdr:cNvPr id="522144" name="Line 18">
          <a:extLst>
            <a:ext uri="{FF2B5EF4-FFF2-40B4-BE49-F238E27FC236}">
              <a16:creationId xmlns:a16="http://schemas.microsoft.com/office/drawing/2014/main" id="{97BBCFDA-A4AE-41F0-9F9B-BB2D92CF4242}"/>
            </a:ext>
          </a:extLst>
        </xdr:cNvPr>
        <xdr:cNvSpPr>
          <a:spLocks noChangeShapeType="1"/>
        </xdr:cNvSpPr>
      </xdr:nvSpPr>
      <xdr:spPr bwMode="auto">
        <a:xfrm>
          <a:off x="4451350" y="5397500"/>
          <a:ext cx="266700" cy="64770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254000</xdr:colOff>
      <xdr:row>31</xdr:row>
      <xdr:rowOff>120650</xdr:rowOff>
    </xdr:from>
    <xdr:to>
      <xdr:col>3</xdr:col>
      <xdr:colOff>488950</xdr:colOff>
      <xdr:row>33</xdr:row>
      <xdr:rowOff>12700</xdr:rowOff>
    </xdr:to>
    <xdr:sp macro="" textlink="">
      <xdr:nvSpPr>
        <xdr:cNvPr id="522145" name="Rectangle 19">
          <a:extLst>
            <a:ext uri="{FF2B5EF4-FFF2-40B4-BE49-F238E27FC236}">
              <a16:creationId xmlns:a16="http://schemas.microsoft.com/office/drawing/2014/main" id="{CFEA7F68-E411-429E-B6AC-C6118B43FE8A}"/>
            </a:ext>
          </a:extLst>
        </xdr:cNvPr>
        <xdr:cNvSpPr>
          <a:spLocks noChangeArrowheads="1"/>
        </xdr:cNvSpPr>
      </xdr:nvSpPr>
      <xdr:spPr bwMode="auto">
        <a:xfrm rot="-1073483">
          <a:off x="4470400" y="5295900"/>
          <a:ext cx="234950" cy="209550"/>
        </a:xfrm>
        <a:prstGeom prst="rect">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xdr:col>
      <xdr:colOff>196850</xdr:colOff>
      <xdr:row>31</xdr:row>
      <xdr:rowOff>146050</xdr:rowOff>
    </xdr:from>
    <xdr:to>
      <xdr:col>3</xdr:col>
      <xdr:colOff>279400</xdr:colOff>
      <xdr:row>32</xdr:row>
      <xdr:rowOff>50800</xdr:rowOff>
    </xdr:to>
    <xdr:sp macro="" textlink="">
      <xdr:nvSpPr>
        <xdr:cNvPr id="522146" name="Oval 13">
          <a:extLst>
            <a:ext uri="{FF2B5EF4-FFF2-40B4-BE49-F238E27FC236}">
              <a16:creationId xmlns:a16="http://schemas.microsoft.com/office/drawing/2014/main" id="{127432D6-0EA5-47AD-8CA5-A4C9C238E3B5}"/>
            </a:ext>
          </a:extLst>
        </xdr:cNvPr>
        <xdr:cNvSpPr>
          <a:spLocks noChangeArrowheads="1"/>
        </xdr:cNvSpPr>
      </xdr:nvSpPr>
      <xdr:spPr bwMode="auto">
        <a:xfrm>
          <a:off x="4413250" y="5321300"/>
          <a:ext cx="82550" cy="63500"/>
        </a:xfrm>
        <a:prstGeom prst="ellipse">
          <a:avLst/>
        </a:prstGeom>
        <a:solidFill>
          <a:srgbClr val="FF9900"/>
        </a:solidFill>
        <a:ln w="9525">
          <a:solidFill>
            <a:srgbClr val="000000"/>
          </a:solidFill>
          <a:round/>
          <a:headEnd/>
          <a:tailEnd/>
        </a:ln>
      </xdr:spPr>
    </xdr:sp>
    <xdr:clientData/>
  </xdr:twoCellAnchor>
  <xdr:twoCellAnchor>
    <xdr:from>
      <xdr:col>9</xdr:col>
      <xdr:colOff>476250</xdr:colOff>
      <xdr:row>16</xdr:row>
      <xdr:rowOff>12700</xdr:rowOff>
    </xdr:from>
    <xdr:to>
      <xdr:col>9</xdr:col>
      <xdr:colOff>558800</xdr:colOff>
      <xdr:row>16</xdr:row>
      <xdr:rowOff>95250</xdr:rowOff>
    </xdr:to>
    <xdr:sp macro="" textlink="">
      <xdr:nvSpPr>
        <xdr:cNvPr id="522147" name="Oval 10">
          <a:extLst>
            <a:ext uri="{FF2B5EF4-FFF2-40B4-BE49-F238E27FC236}">
              <a16:creationId xmlns:a16="http://schemas.microsoft.com/office/drawing/2014/main" id="{1BCC7388-5F18-4B52-A2E2-9E6816D743CE}"/>
            </a:ext>
          </a:extLst>
        </xdr:cNvPr>
        <xdr:cNvSpPr>
          <a:spLocks noChangeArrowheads="1"/>
        </xdr:cNvSpPr>
      </xdr:nvSpPr>
      <xdr:spPr bwMode="auto">
        <a:xfrm>
          <a:off x="8743950" y="2800350"/>
          <a:ext cx="82550" cy="82550"/>
        </a:xfrm>
        <a:prstGeom prst="ellipse">
          <a:avLst/>
        </a:prstGeom>
        <a:solidFill>
          <a:srgbClr val="FF0000"/>
        </a:solidFill>
        <a:ln w="9525">
          <a:solidFill>
            <a:srgbClr val="000000"/>
          </a:solidFill>
          <a:round/>
          <a:headEnd/>
          <a:tailEnd/>
        </a:ln>
      </xdr:spPr>
    </xdr:sp>
    <xdr:clientData/>
  </xdr:twoCellAnchor>
  <xdr:oneCellAnchor>
    <xdr:from>
      <xdr:col>5</xdr:col>
      <xdr:colOff>492125</xdr:colOff>
      <xdr:row>34</xdr:row>
      <xdr:rowOff>76200</xdr:rowOff>
    </xdr:from>
    <xdr:ext cx="1172899" cy="183292"/>
    <xdr:sp macro="" textlink="">
      <xdr:nvSpPr>
        <xdr:cNvPr id="1044" name="Text Box 20">
          <a:extLst>
            <a:ext uri="{FF2B5EF4-FFF2-40B4-BE49-F238E27FC236}">
              <a16:creationId xmlns:a16="http://schemas.microsoft.com/office/drawing/2014/main" id="{A2B57561-F964-4F7F-85BD-771902499D24}"/>
            </a:ext>
          </a:extLst>
        </xdr:cNvPr>
        <xdr:cNvSpPr txBox="1">
          <a:spLocks noChangeArrowheads="1"/>
        </xdr:cNvSpPr>
      </xdr:nvSpPr>
      <xdr:spPr bwMode="auto">
        <a:xfrm>
          <a:off x="6708775" y="5503333"/>
          <a:ext cx="1073380"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Arial"/>
              <a:cs typeface="Arial"/>
            </a:rPr>
            <a:t>To Center of Earth</a:t>
          </a:r>
        </a:p>
      </xdr:txBody>
    </xdr:sp>
    <xdr:clientData/>
  </xdr:oneCellAnchor>
  <xdr:twoCellAnchor>
    <xdr:from>
      <xdr:col>3</xdr:col>
      <xdr:colOff>571500</xdr:colOff>
      <xdr:row>35</xdr:row>
      <xdr:rowOff>12700</xdr:rowOff>
    </xdr:from>
    <xdr:to>
      <xdr:col>5</xdr:col>
      <xdr:colOff>419100</xdr:colOff>
      <xdr:row>35</xdr:row>
      <xdr:rowOff>158750</xdr:rowOff>
    </xdr:to>
    <xdr:sp macro="" textlink="">
      <xdr:nvSpPr>
        <xdr:cNvPr id="522149" name="Line 21">
          <a:extLst>
            <a:ext uri="{FF2B5EF4-FFF2-40B4-BE49-F238E27FC236}">
              <a16:creationId xmlns:a16="http://schemas.microsoft.com/office/drawing/2014/main" id="{A94F3039-7A8E-4996-8D04-86FF6BE6A1C0}"/>
            </a:ext>
          </a:extLst>
        </xdr:cNvPr>
        <xdr:cNvSpPr>
          <a:spLocks noChangeShapeType="1"/>
        </xdr:cNvSpPr>
      </xdr:nvSpPr>
      <xdr:spPr bwMode="auto">
        <a:xfrm flipH="1">
          <a:off x="4787900" y="5835650"/>
          <a:ext cx="1295400" cy="146050"/>
        </a:xfrm>
        <a:prstGeom prst="line">
          <a:avLst/>
        </a:prstGeom>
        <a:noFill/>
        <a:ln w="9525">
          <a:solidFill>
            <a:srgbClr val="000000"/>
          </a:solidFill>
          <a:round/>
          <a:headEnd/>
          <a:tailEnd type="arrow" w="med" len="med"/>
        </a:ln>
        <a:extLst>
          <a:ext uri="{909E8E84-426E-40DD-AFC4-6F175D3DCCD1}">
            <a14:hiddenFill xmlns:a14="http://schemas.microsoft.com/office/drawing/2010/main">
              <a:noFill/>
            </a14:hiddenFill>
          </a:ext>
        </a:extLst>
      </xdr:spPr>
    </xdr:sp>
    <xdr:clientData/>
  </xdr:twoCellAnchor>
  <xdr:twoCellAnchor>
    <xdr:from>
      <xdr:col>7</xdr:col>
      <xdr:colOff>336550</xdr:colOff>
      <xdr:row>35</xdr:row>
      <xdr:rowOff>12700</xdr:rowOff>
    </xdr:from>
    <xdr:to>
      <xdr:col>9</xdr:col>
      <xdr:colOff>323850</xdr:colOff>
      <xdr:row>35</xdr:row>
      <xdr:rowOff>63500</xdr:rowOff>
    </xdr:to>
    <xdr:sp macro="" textlink="">
      <xdr:nvSpPr>
        <xdr:cNvPr id="522150" name="Line 22">
          <a:extLst>
            <a:ext uri="{FF2B5EF4-FFF2-40B4-BE49-F238E27FC236}">
              <a16:creationId xmlns:a16="http://schemas.microsoft.com/office/drawing/2014/main" id="{830ACCB2-DE85-480F-AE9C-B0DF962CBF85}"/>
            </a:ext>
          </a:extLst>
        </xdr:cNvPr>
        <xdr:cNvSpPr>
          <a:spLocks noChangeShapeType="1"/>
        </xdr:cNvSpPr>
      </xdr:nvSpPr>
      <xdr:spPr bwMode="auto">
        <a:xfrm>
          <a:off x="7372350" y="5835650"/>
          <a:ext cx="1219200" cy="50800"/>
        </a:xfrm>
        <a:prstGeom prst="line">
          <a:avLst/>
        </a:prstGeom>
        <a:noFill/>
        <a:ln w="9525">
          <a:solidFill>
            <a:srgbClr val="000000"/>
          </a:solidFill>
          <a:round/>
          <a:headEnd/>
          <a:tailEnd type="arrow" w="med" len="med"/>
        </a:ln>
        <a:extLst>
          <a:ext uri="{909E8E84-426E-40DD-AFC4-6F175D3DCCD1}">
            <a14:hiddenFill xmlns:a14="http://schemas.microsoft.com/office/drawing/2010/main">
              <a:noFill/>
            </a14:hiddenFill>
          </a:ext>
        </a:extLst>
      </xdr:spPr>
    </xdr:sp>
    <xdr:clientData/>
  </xdr:twoCellAnchor>
  <xdr:oneCellAnchor>
    <xdr:from>
      <xdr:col>10</xdr:col>
      <xdr:colOff>31750</xdr:colOff>
      <xdr:row>15</xdr:row>
      <xdr:rowOff>82550</xdr:rowOff>
    </xdr:from>
    <xdr:ext cx="631455" cy="170560"/>
    <xdr:sp macro="" textlink="">
      <xdr:nvSpPr>
        <xdr:cNvPr id="1047" name="Text Box 23">
          <a:extLst>
            <a:ext uri="{FF2B5EF4-FFF2-40B4-BE49-F238E27FC236}">
              <a16:creationId xmlns:a16="http://schemas.microsoft.com/office/drawing/2014/main" id="{C0C890F5-A03D-4D4A-AB13-9AFAB85DB61D}"/>
            </a:ext>
          </a:extLst>
        </xdr:cNvPr>
        <xdr:cNvSpPr txBox="1">
          <a:spLocks noChangeArrowheads="1"/>
        </xdr:cNvSpPr>
      </xdr:nvSpPr>
      <xdr:spPr bwMode="auto">
        <a:xfrm>
          <a:off x="8989483" y="2732617"/>
          <a:ext cx="631455" cy="170560"/>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Arial"/>
              <a:cs typeface="Arial"/>
            </a:rPr>
            <a:t>Spacecraft</a:t>
          </a:r>
        </a:p>
      </xdr:txBody>
    </xdr:sp>
    <xdr:clientData/>
  </xdr:oneCellAnchor>
  <xdr:oneCellAnchor>
    <xdr:from>
      <xdr:col>7</xdr:col>
      <xdr:colOff>587375</xdr:colOff>
      <xdr:row>15</xdr:row>
      <xdr:rowOff>0</xdr:rowOff>
    </xdr:from>
    <xdr:ext cx="859122" cy="171073"/>
    <xdr:sp macro="" textlink="">
      <xdr:nvSpPr>
        <xdr:cNvPr id="1048" name="Text Box 24">
          <a:extLst>
            <a:ext uri="{FF2B5EF4-FFF2-40B4-BE49-F238E27FC236}">
              <a16:creationId xmlns:a16="http://schemas.microsoft.com/office/drawing/2014/main" id="{85CDE3D1-370D-49A9-BBF1-0B857EA93A85}"/>
            </a:ext>
          </a:extLst>
        </xdr:cNvPr>
        <xdr:cNvSpPr txBox="1">
          <a:spLocks noChangeArrowheads="1"/>
        </xdr:cNvSpPr>
      </xdr:nvSpPr>
      <xdr:spPr bwMode="auto">
        <a:xfrm>
          <a:off x="8323792" y="2531533"/>
          <a:ext cx="781020"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Arial"/>
              <a:cs typeface="Arial"/>
            </a:rPr>
            <a:t>Orbit Velocity</a:t>
          </a:r>
        </a:p>
      </xdr:txBody>
    </xdr:sp>
    <xdr:clientData/>
  </xdr:oneCellAnchor>
  <xdr:oneCellAnchor>
    <xdr:from>
      <xdr:col>9</xdr:col>
      <xdr:colOff>517525</xdr:colOff>
      <xdr:row>29</xdr:row>
      <xdr:rowOff>146050</xdr:rowOff>
    </xdr:from>
    <xdr:ext cx="1218850" cy="171263"/>
    <xdr:sp macro="" textlink="">
      <xdr:nvSpPr>
        <xdr:cNvPr id="1049" name="Text Box 25">
          <a:extLst>
            <a:ext uri="{FF2B5EF4-FFF2-40B4-BE49-F238E27FC236}">
              <a16:creationId xmlns:a16="http://schemas.microsoft.com/office/drawing/2014/main" id="{153E5B8D-BF25-435D-A24B-BA5C79726E9F}"/>
            </a:ext>
          </a:extLst>
        </xdr:cNvPr>
        <xdr:cNvSpPr txBox="1">
          <a:spLocks noChangeArrowheads="1"/>
        </xdr:cNvSpPr>
      </xdr:nvSpPr>
      <xdr:spPr bwMode="auto">
        <a:xfrm>
          <a:off x="9585325" y="4787900"/>
          <a:ext cx="1070037"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Arial"/>
              <a:cs typeface="Arial"/>
            </a:rPr>
            <a:t>Re</a:t>
          </a:r>
          <a:r>
            <a:rPr lang="en-US" sz="1000" b="0" i="0" strike="noStrike">
              <a:solidFill>
                <a:srgbClr val="000000"/>
              </a:solidFill>
              <a:latin typeface="Arial"/>
              <a:cs typeface="Arial"/>
            </a:rPr>
            <a:t> = 6378.136 km</a:t>
          </a:r>
        </a:p>
      </xdr:txBody>
    </xdr:sp>
    <xdr:clientData/>
  </xdr:oneCellAnchor>
  <xdr:oneCellAnchor>
    <xdr:from>
      <xdr:col>9</xdr:col>
      <xdr:colOff>558800</xdr:colOff>
      <xdr:row>21</xdr:row>
      <xdr:rowOff>38100</xdr:rowOff>
    </xdr:from>
    <xdr:ext cx="1968970" cy="176972"/>
    <xdr:sp macro="" textlink="">
      <xdr:nvSpPr>
        <xdr:cNvPr id="1050" name="Text Box 26">
          <a:extLst>
            <a:ext uri="{FF2B5EF4-FFF2-40B4-BE49-F238E27FC236}">
              <a16:creationId xmlns:a16="http://schemas.microsoft.com/office/drawing/2014/main" id="{CF56E1A4-7C63-4496-858B-BE0FAFC37B2B}"/>
            </a:ext>
          </a:extLst>
        </xdr:cNvPr>
        <xdr:cNvSpPr txBox="1">
          <a:spLocks noChangeArrowheads="1"/>
        </xdr:cNvSpPr>
      </xdr:nvSpPr>
      <xdr:spPr bwMode="auto">
        <a:xfrm>
          <a:off x="9626600" y="3467100"/>
          <a:ext cx="1789973"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Arial"/>
              <a:cs typeface="Arial"/>
            </a:rPr>
            <a:t>h = </a:t>
          </a:r>
          <a:r>
            <a:rPr lang="en-US" sz="1000" b="0" i="0" strike="noStrike">
              <a:solidFill>
                <a:srgbClr val="000000"/>
              </a:solidFill>
              <a:latin typeface="Arial"/>
              <a:cs typeface="Arial"/>
            </a:rPr>
            <a:t>mean height above surface</a:t>
          </a:r>
        </a:p>
      </xdr:txBody>
    </xdr:sp>
    <xdr:clientData/>
  </xdr:oneCellAnchor>
  <xdr:oneCellAnchor>
    <xdr:from>
      <xdr:col>7</xdr:col>
      <xdr:colOff>82550</xdr:colOff>
      <xdr:row>24</xdr:row>
      <xdr:rowOff>82550</xdr:rowOff>
    </xdr:from>
    <xdr:ext cx="1111010" cy="180178"/>
    <xdr:sp macro="" textlink="">
      <xdr:nvSpPr>
        <xdr:cNvPr id="1051" name="Text Box 27">
          <a:extLst>
            <a:ext uri="{FF2B5EF4-FFF2-40B4-BE49-F238E27FC236}">
              <a16:creationId xmlns:a16="http://schemas.microsoft.com/office/drawing/2014/main" id="{B6983325-F031-4AC6-A9BF-5967C433A052}"/>
            </a:ext>
          </a:extLst>
        </xdr:cNvPr>
        <xdr:cNvSpPr txBox="1">
          <a:spLocks noChangeArrowheads="1"/>
        </xdr:cNvSpPr>
      </xdr:nvSpPr>
      <xdr:spPr bwMode="auto">
        <a:xfrm>
          <a:off x="7131050" y="4188883"/>
          <a:ext cx="1111010"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Symbol"/>
            </a:rPr>
            <a:t>d</a:t>
          </a:r>
          <a:r>
            <a:rPr lang="en-US" sz="1000" b="0" i="0" strike="noStrike">
              <a:solidFill>
                <a:srgbClr val="000000"/>
              </a:solidFill>
              <a:latin typeface="Symbol"/>
            </a:rPr>
            <a:t>  = </a:t>
          </a:r>
          <a:r>
            <a:rPr lang="en-US" sz="1000" b="0" i="0" strike="noStrike">
              <a:solidFill>
                <a:srgbClr val="000000"/>
              </a:solidFill>
              <a:latin typeface="Arial"/>
              <a:cs typeface="Arial"/>
            </a:rPr>
            <a:t>elevation angle</a:t>
          </a:r>
        </a:p>
      </xdr:txBody>
    </xdr:sp>
    <xdr:clientData/>
  </xdr:oneCellAnchor>
  <xdr:twoCellAnchor>
    <xdr:from>
      <xdr:col>6</xdr:col>
      <xdr:colOff>444500</xdr:colOff>
      <xdr:row>24</xdr:row>
      <xdr:rowOff>107950</xdr:rowOff>
    </xdr:from>
    <xdr:to>
      <xdr:col>6</xdr:col>
      <xdr:colOff>558800</xdr:colOff>
      <xdr:row>27</xdr:row>
      <xdr:rowOff>12700</xdr:rowOff>
    </xdr:to>
    <xdr:sp macro="" textlink="">
      <xdr:nvSpPr>
        <xdr:cNvPr id="522156" name="AutoShape 28">
          <a:extLst>
            <a:ext uri="{FF2B5EF4-FFF2-40B4-BE49-F238E27FC236}">
              <a16:creationId xmlns:a16="http://schemas.microsoft.com/office/drawing/2014/main" id="{DBDFA24C-775F-4ABE-9999-A8AC6CD6D0CB}"/>
            </a:ext>
          </a:extLst>
        </xdr:cNvPr>
        <xdr:cNvSpPr>
          <a:spLocks noChangeArrowheads="1"/>
        </xdr:cNvSpPr>
      </xdr:nvSpPr>
      <xdr:spPr bwMode="auto">
        <a:xfrm rot="4599354">
          <a:off x="6591300" y="4305300"/>
          <a:ext cx="381000" cy="114300"/>
        </a:xfrm>
        <a:prstGeom prst="curvedDownArrow">
          <a:avLst>
            <a:gd name="adj1" fmla="val 3951"/>
            <a:gd name="adj2" fmla="val 113302"/>
            <a:gd name="adj3" fmla="val 85426"/>
          </a:avLst>
        </a:prstGeom>
        <a:solidFill>
          <a:srgbClr val="FFFFFF"/>
        </a:solidFill>
        <a:ln w="9525">
          <a:solidFill>
            <a:srgbClr val="000000"/>
          </a:solidFill>
          <a:miter lim="800000"/>
          <a:headEnd/>
          <a:tailEnd/>
        </a:ln>
      </xdr:spPr>
    </xdr:sp>
    <xdr:clientData/>
  </xdr:twoCellAnchor>
  <xdr:twoCellAnchor editAs="oneCell">
    <xdr:from>
      <xdr:col>3</xdr:col>
      <xdr:colOff>466725</xdr:colOff>
      <xdr:row>30</xdr:row>
      <xdr:rowOff>107950</xdr:rowOff>
    </xdr:from>
    <xdr:to>
      <xdr:col>4</xdr:col>
      <xdr:colOff>527006</xdr:colOff>
      <xdr:row>33</xdr:row>
      <xdr:rowOff>0</xdr:rowOff>
    </xdr:to>
    <xdr:sp macro="" textlink="">
      <xdr:nvSpPr>
        <xdr:cNvPr id="1053" name="Text Box 29">
          <a:extLst>
            <a:ext uri="{FF2B5EF4-FFF2-40B4-BE49-F238E27FC236}">
              <a16:creationId xmlns:a16="http://schemas.microsoft.com/office/drawing/2014/main" id="{CA5EA948-E03D-4DDC-9327-DB1EA40FF144}"/>
            </a:ext>
          </a:extLst>
        </xdr:cNvPr>
        <xdr:cNvSpPr txBox="1">
          <a:spLocks noChangeArrowheads="1"/>
        </xdr:cNvSpPr>
      </xdr:nvSpPr>
      <xdr:spPr bwMode="auto">
        <a:xfrm>
          <a:off x="4467225" y="5200650"/>
          <a:ext cx="800100" cy="371475"/>
        </a:xfrm>
        <a:prstGeom prst="rect">
          <a:avLst/>
        </a:prstGeom>
        <a:noFill/>
        <a:ln w="9525">
          <a:noFill/>
          <a:miter lim="800000"/>
          <a:headEnd/>
          <a:tailEnd/>
        </a:ln>
      </xdr:spPr>
      <xdr:txBody>
        <a:bodyPr vertOverflow="clip" wrap="square" lIns="27432" tIns="22860" rIns="0" bIns="0" anchor="t" upright="1"/>
        <a:lstStyle/>
        <a:p>
          <a:pPr algn="l" rtl="0">
            <a:defRPr sz="1000"/>
          </a:pPr>
          <a:endParaRPr lang="en-US" sz="1000" b="0" i="0" strike="noStrike">
            <a:solidFill>
              <a:srgbClr val="000000"/>
            </a:solidFill>
            <a:latin typeface="Arial"/>
            <a:cs typeface="Arial"/>
          </a:endParaRPr>
        </a:p>
        <a:p>
          <a:pPr algn="l" rtl="0">
            <a:defRPr sz="1000"/>
          </a:pPr>
          <a:r>
            <a:rPr lang="en-US" sz="1000" b="0" i="0" strike="noStrike">
              <a:solidFill>
                <a:srgbClr val="000000"/>
              </a:solidFill>
              <a:latin typeface="Arial"/>
              <a:cs typeface="Arial"/>
            </a:rPr>
            <a:t>Earth Station</a:t>
          </a:r>
        </a:p>
      </xdr:txBody>
    </xdr:sp>
    <xdr:clientData/>
  </xdr:twoCellAnchor>
  <xdr:oneCellAnchor>
    <xdr:from>
      <xdr:col>5</xdr:col>
      <xdr:colOff>307975</xdr:colOff>
      <xdr:row>21</xdr:row>
      <xdr:rowOff>146050</xdr:rowOff>
    </xdr:from>
    <xdr:ext cx="1002355" cy="171073"/>
    <xdr:sp macro="" textlink="">
      <xdr:nvSpPr>
        <xdr:cNvPr id="1054" name="Text Box 30">
          <a:extLst>
            <a:ext uri="{FF2B5EF4-FFF2-40B4-BE49-F238E27FC236}">
              <a16:creationId xmlns:a16="http://schemas.microsoft.com/office/drawing/2014/main" id="{6EAC8CF9-E0B6-4F96-8D44-1AFBFA29CA83}"/>
            </a:ext>
          </a:extLst>
        </xdr:cNvPr>
        <xdr:cNvSpPr txBox="1">
          <a:spLocks noChangeArrowheads="1"/>
        </xdr:cNvSpPr>
      </xdr:nvSpPr>
      <xdr:spPr bwMode="auto">
        <a:xfrm>
          <a:off x="6511925" y="3568700"/>
          <a:ext cx="955973"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Arial"/>
              <a:cs typeface="Arial"/>
            </a:rPr>
            <a:t>S </a:t>
          </a:r>
          <a:r>
            <a:rPr lang="en-US" sz="1000" b="0" i="0" strike="noStrike">
              <a:solidFill>
                <a:srgbClr val="000000"/>
              </a:solidFill>
              <a:latin typeface="Arial"/>
              <a:cs typeface="Arial"/>
            </a:rPr>
            <a:t>= Slant Range</a:t>
          </a:r>
        </a:p>
      </xdr:txBody>
    </xdr:sp>
    <xdr:clientData/>
  </xdr:oneCellAnchor>
  <xdr:oneCellAnchor>
    <xdr:from>
      <xdr:col>10</xdr:col>
      <xdr:colOff>31750</xdr:colOff>
      <xdr:row>26</xdr:row>
      <xdr:rowOff>0</xdr:rowOff>
    </xdr:from>
    <xdr:ext cx="533400" cy="180975"/>
    <xdr:sp macro="" textlink="">
      <xdr:nvSpPr>
        <xdr:cNvPr id="1055" name="Text Box 31">
          <a:extLst>
            <a:ext uri="{FF2B5EF4-FFF2-40B4-BE49-F238E27FC236}">
              <a16:creationId xmlns:a16="http://schemas.microsoft.com/office/drawing/2014/main" id="{110D7BFD-1D67-4469-B655-5856697AD173}"/>
            </a:ext>
          </a:extLst>
        </xdr:cNvPr>
        <xdr:cNvSpPr txBox="1">
          <a:spLocks noChangeArrowheads="1"/>
        </xdr:cNvSpPr>
      </xdr:nvSpPr>
      <xdr:spPr bwMode="auto">
        <a:xfrm>
          <a:off x="8629650" y="4438650"/>
          <a:ext cx="590550" cy="200025"/>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Arial"/>
              <a:cs typeface="Arial"/>
            </a:rPr>
            <a:t>r = h+Re</a:t>
          </a:r>
        </a:p>
      </xdr:txBody>
    </xdr:sp>
    <xdr:clientData/>
  </xdr:oneCellAnchor>
  <xdr:oneCellAnchor>
    <xdr:from>
      <xdr:col>11</xdr:col>
      <xdr:colOff>444500</xdr:colOff>
      <xdr:row>32</xdr:row>
      <xdr:rowOff>117475</xdr:rowOff>
    </xdr:from>
    <xdr:ext cx="2466573" cy="180178"/>
    <xdr:sp macro="" textlink="">
      <xdr:nvSpPr>
        <xdr:cNvPr id="1056" name="Text Box 32">
          <a:extLst>
            <a:ext uri="{FF2B5EF4-FFF2-40B4-BE49-F238E27FC236}">
              <a16:creationId xmlns:a16="http://schemas.microsoft.com/office/drawing/2014/main" id="{8A882F62-22D8-4525-838D-22C35882BFEC}"/>
            </a:ext>
          </a:extLst>
        </xdr:cNvPr>
        <xdr:cNvSpPr txBox="1">
          <a:spLocks noChangeArrowheads="1"/>
        </xdr:cNvSpPr>
      </xdr:nvSpPr>
      <xdr:spPr bwMode="auto">
        <a:xfrm>
          <a:off x="10147300" y="5510742"/>
          <a:ext cx="2466573"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Arial"/>
              <a:cs typeface="Arial"/>
            </a:rPr>
            <a:t>S = Re[{r^2/Re^2 - cos^2(</a:t>
          </a:r>
          <a:r>
            <a:rPr lang="en-US" sz="1000" b="1" i="0" strike="noStrike">
              <a:solidFill>
                <a:srgbClr val="000000"/>
              </a:solidFill>
              <a:latin typeface="Symbol"/>
            </a:rPr>
            <a:t>d)}</a:t>
          </a:r>
          <a:r>
            <a:rPr lang="en-US" sz="1000" b="1" i="0" strike="noStrike">
              <a:solidFill>
                <a:srgbClr val="000000"/>
              </a:solidFill>
              <a:latin typeface="Arial"/>
              <a:cs typeface="Arial"/>
            </a:rPr>
            <a:t>^1/2 - sin </a:t>
          </a:r>
          <a:r>
            <a:rPr lang="en-US" sz="1000" b="1" i="0" strike="noStrike">
              <a:solidFill>
                <a:srgbClr val="000000"/>
              </a:solidFill>
              <a:latin typeface="Symbol"/>
            </a:rPr>
            <a:t>d ]</a:t>
          </a:r>
        </a:p>
      </xdr:txBody>
    </xdr:sp>
    <xdr:clientData/>
  </xdr:oneCellAnchor>
  <xdr:twoCellAnchor>
    <xdr:from>
      <xdr:col>4</xdr:col>
      <xdr:colOff>292100</xdr:colOff>
      <xdr:row>47</xdr:row>
      <xdr:rowOff>12700</xdr:rowOff>
    </xdr:from>
    <xdr:to>
      <xdr:col>5</xdr:col>
      <xdr:colOff>311150</xdr:colOff>
      <xdr:row>50</xdr:row>
      <xdr:rowOff>146050</xdr:rowOff>
    </xdr:to>
    <xdr:sp macro="" textlink="">
      <xdr:nvSpPr>
        <xdr:cNvPr id="522161" name="Oval 46">
          <a:extLst>
            <a:ext uri="{FF2B5EF4-FFF2-40B4-BE49-F238E27FC236}">
              <a16:creationId xmlns:a16="http://schemas.microsoft.com/office/drawing/2014/main" id="{8FFFFDD4-FBE3-4C73-8CE7-8BA36202440B}"/>
            </a:ext>
          </a:extLst>
        </xdr:cNvPr>
        <xdr:cNvSpPr>
          <a:spLocks noChangeArrowheads="1"/>
        </xdr:cNvSpPr>
      </xdr:nvSpPr>
      <xdr:spPr bwMode="auto">
        <a:xfrm>
          <a:off x="5302250" y="7854950"/>
          <a:ext cx="673100" cy="609600"/>
        </a:xfrm>
        <a:prstGeom prst="ellipse">
          <a:avLst/>
        </a:prstGeom>
        <a:solidFill>
          <a:srgbClr val="00CCFF"/>
        </a:solidFill>
        <a:ln w="9525">
          <a:solidFill>
            <a:srgbClr val="000000"/>
          </a:solidFill>
          <a:round/>
          <a:headEnd/>
          <a:tailEnd/>
        </a:ln>
      </xdr:spPr>
    </xdr:sp>
    <xdr:clientData/>
  </xdr:twoCellAnchor>
  <xdr:twoCellAnchor>
    <xdr:from>
      <xdr:col>4</xdr:col>
      <xdr:colOff>0</xdr:colOff>
      <xdr:row>40</xdr:row>
      <xdr:rowOff>25400</xdr:rowOff>
    </xdr:from>
    <xdr:to>
      <xdr:col>11</xdr:col>
      <xdr:colOff>374650</xdr:colOff>
      <xdr:row>57</xdr:row>
      <xdr:rowOff>127000</xdr:rowOff>
    </xdr:to>
    <xdr:sp macro="" textlink="">
      <xdr:nvSpPr>
        <xdr:cNvPr id="522162" name="Oval 47">
          <a:extLst>
            <a:ext uri="{FF2B5EF4-FFF2-40B4-BE49-F238E27FC236}">
              <a16:creationId xmlns:a16="http://schemas.microsoft.com/office/drawing/2014/main" id="{DA545E0C-2407-413A-A0B5-19E326965F49}"/>
            </a:ext>
          </a:extLst>
        </xdr:cNvPr>
        <xdr:cNvSpPr>
          <a:spLocks noChangeArrowheads="1"/>
        </xdr:cNvSpPr>
      </xdr:nvSpPr>
      <xdr:spPr bwMode="auto">
        <a:xfrm>
          <a:off x="5010150" y="6750050"/>
          <a:ext cx="5048250" cy="2806700"/>
        </a:xfrm>
        <a:prstGeom prst="ellipse">
          <a:avLst/>
        </a:prstGeom>
        <a:noFill/>
        <a:ln w="2857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xdr:col>
      <xdr:colOff>628650</xdr:colOff>
      <xdr:row>49</xdr:row>
      <xdr:rowOff>0</xdr:rowOff>
    </xdr:from>
    <xdr:to>
      <xdr:col>11</xdr:col>
      <xdr:colOff>361950</xdr:colOff>
      <xdr:row>49</xdr:row>
      <xdr:rowOff>0</xdr:rowOff>
    </xdr:to>
    <xdr:sp macro="" textlink="">
      <xdr:nvSpPr>
        <xdr:cNvPr id="522163" name="Line 48">
          <a:extLst>
            <a:ext uri="{FF2B5EF4-FFF2-40B4-BE49-F238E27FC236}">
              <a16:creationId xmlns:a16="http://schemas.microsoft.com/office/drawing/2014/main" id="{9A9E0E57-C238-44F1-AFB8-5BD0C24B8612}"/>
            </a:ext>
          </a:extLst>
        </xdr:cNvPr>
        <xdr:cNvSpPr>
          <a:spLocks noChangeShapeType="1"/>
        </xdr:cNvSpPr>
      </xdr:nvSpPr>
      <xdr:spPr bwMode="auto">
        <a:xfrm>
          <a:off x="4845050" y="8159750"/>
          <a:ext cx="5200650" cy="0"/>
        </a:xfrm>
        <a:prstGeom prst="line">
          <a:avLst/>
        </a:prstGeom>
        <a:noFill/>
        <a:ln w="9525">
          <a:solidFill>
            <a:srgbClr val="000000"/>
          </a:solidFill>
          <a:prstDash val="lgDashDotDot"/>
          <a:round/>
          <a:headEnd/>
          <a:tailEnd/>
        </a:ln>
        <a:extLst>
          <a:ext uri="{909E8E84-426E-40DD-AFC4-6F175D3DCCD1}">
            <a14:hiddenFill xmlns:a14="http://schemas.microsoft.com/office/drawing/2010/main">
              <a:noFill/>
            </a14:hiddenFill>
          </a:ext>
        </a:extLst>
      </xdr:spPr>
    </xdr:sp>
    <xdr:clientData/>
  </xdr:twoCellAnchor>
  <xdr:twoCellAnchor>
    <xdr:from>
      <xdr:col>10</xdr:col>
      <xdr:colOff>171450</xdr:colOff>
      <xdr:row>42</xdr:row>
      <xdr:rowOff>12700</xdr:rowOff>
    </xdr:from>
    <xdr:to>
      <xdr:col>10</xdr:col>
      <xdr:colOff>374650</xdr:colOff>
      <xdr:row>43</xdr:row>
      <xdr:rowOff>12700</xdr:rowOff>
    </xdr:to>
    <xdr:sp macro="" textlink="">
      <xdr:nvSpPr>
        <xdr:cNvPr id="522164" name="AutoShape 49">
          <a:extLst>
            <a:ext uri="{FF2B5EF4-FFF2-40B4-BE49-F238E27FC236}">
              <a16:creationId xmlns:a16="http://schemas.microsoft.com/office/drawing/2014/main" id="{57286596-7003-42D1-9BB1-1463D877D4EC}"/>
            </a:ext>
          </a:extLst>
        </xdr:cNvPr>
        <xdr:cNvSpPr>
          <a:spLocks noChangeArrowheads="1"/>
        </xdr:cNvSpPr>
      </xdr:nvSpPr>
      <xdr:spPr bwMode="auto">
        <a:xfrm>
          <a:off x="9112250" y="7061200"/>
          <a:ext cx="203200" cy="158750"/>
        </a:xfrm>
        <a:prstGeom prst="flowChartMagneticDrum">
          <a:avLst/>
        </a:prstGeom>
        <a:solidFill>
          <a:srgbClr val="FFFFFF"/>
        </a:solidFill>
        <a:ln w="9525">
          <a:solidFill>
            <a:srgbClr val="000000"/>
          </a:solidFill>
          <a:round/>
          <a:headEnd/>
          <a:tailEnd/>
        </a:ln>
      </xdr:spPr>
    </xdr:sp>
    <xdr:clientData/>
  </xdr:twoCellAnchor>
  <xdr:twoCellAnchor>
    <xdr:from>
      <xdr:col>9</xdr:col>
      <xdr:colOff>209550</xdr:colOff>
      <xdr:row>42</xdr:row>
      <xdr:rowOff>95250</xdr:rowOff>
    </xdr:from>
    <xdr:to>
      <xdr:col>10</xdr:col>
      <xdr:colOff>196850</xdr:colOff>
      <xdr:row>42</xdr:row>
      <xdr:rowOff>95250</xdr:rowOff>
    </xdr:to>
    <xdr:sp macro="" textlink="">
      <xdr:nvSpPr>
        <xdr:cNvPr id="522165" name="Line 50">
          <a:extLst>
            <a:ext uri="{FF2B5EF4-FFF2-40B4-BE49-F238E27FC236}">
              <a16:creationId xmlns:a16="http://schemas.microsoft.com/office/drawing/2014/main" id="{75959BE1-E239-47EF-A93F-BC315143A836}"/>
            </a:ext>
          </a:extLst>
        </xdr:cNvPr>
        <xdr:cNvSpPr>
          <a:spLocks noChangeShapeType="1"/>
        </xdr:cNvSpPr>
      </xdr:nvSpPr>
      <xdr:spPr bwMode="auto">
        <a:xfrm flipH="1">
          <a:off x="8477250" y="7143750"/>
          <a:ext cx="6604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628650</xdr:colOff>
      <xdr:row>42</xdr:row>
      <xdr:rowOff>95250</xdr:rowOff>
    </xdr:from>
    <xdr:to>
      <xdr:col>10</xdr:col>
      <xdr:colOff>266700</xdr:colOff>
      <xdr:row>49</xdr:row>
      <xdr:rowOff>0</xdr:rowOff>
    </xdr:to>
    <xdr:sp macro="" textlink="">
      <xdr:nvSpPr>
        <xdr:cNvPr id="522166" name="Line 51">
          <a:extLst>
            <a:ext uri="{FF2B5EF4-FFF2-40B4-BE49-F238E27FC236}">
              <a16:creationId xmlns:a16="http://schemas.microsoft.com/office/drawing/2014/main" id="{AAE9174A-A7A8-471B-874D-D4744A72C3EC}"/>
            </a:ext>
          </a:extLst>
        </xdr:cNvPr>
        <xdr:cNvSpPr>
          <a:spLocks noChangeShapeType="1"/>
        </xdr:cNvSpPr>
      </xdr:nvSpPr>
      <xdr:spPr bwMode="auto">
        <a:xfrm flipH="1">
          <a:off x="5638800" y="7143750"/>
          <a:ext cx="3568700" cy="10160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615950</xdr:colOff>
      <xdr:row>48</xdr:row>
      <xdr:rowOff>95250</xdr:rowOff>
    </xdr:from>
    <xdr:to>
      <xdr:col>4</xdr:col>
      <xdr:colOff>615950</xdr:colOff>
      <xdr:row>49</xdr:row>
      <xdr:rowOff>82550</xdr:rowOff>
    </xdr:to>
    <xdr:sp macro="" textlink="">
      <xdr:nvSpPr>
        <xdr:cNvPr id="522167" name="Line 52">
          <a:extLst>
            <a:ext uri="{FF2B5EF4-FFF2-40B4-BE49-F238E27FC236}">
              <a16:creationId xmlns:a16="http://schemas.microsoft.com/office/drawing/2014/main" id="{1A4A67D1-527B-4B24-B487-6A1C3E220795}"/>
            </a:ext>
          </a:extLst>
        </xdr:cNvPr>
        <xdr:cNvSpPr>
          <a:spLocks noChangeShapeType="1"/>
        </xdr:cNvSpPr>
      </xdr:nvSpPr>
      <xdr:spPr bwMode="auto">
        <a:xfrm>
          <a:off x="5626100" y="8096250"/>
          <a:ext cx="0" cy="1460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127000</xdr:colOff>
      <xdr:row>42</xdr:row>
      <xdr:rowOff>95250</xdr:rowOff>
    </xdr:from>
    <xdr:to>
      <xdr:col>9</xdr:col>
      <xdr:colOff>152400</xdr:colOff>
      <xdr:row>42</xdr:row>
      <xdr:rowOff>95250</xdr:rowOff>
    </xdr:to>
    <xdr:sp macro="" textlink="">
      <xdr:nvSpPr>
        <xdr:cNvPr id="522168" name="Line 53">
          <a:extLst>
            <a:ext uri="{FF2B5EF4-FFF2-40B4-BE49-F238E27FC236}">
              <a16:creationId xmlns:a16="http://schemas.microsoft.com/office/drawing/2014/main" id="{0373D92E-1864-42B1-BE2D-A25C574E5042}"/>
            </a:ext>
          </a:extLst>
        </xdr:cNvPr>
        <xdr:cNvSpPr>
          <a:spLocks noChangeShapeType="1"/>
        </xdr:cNvSpPr>
      </xdr:nvSpPr>
      <xdr:spPr bwMode="auto">
        <a:xfrm flipH="1">
          <a:off x="5791200" y="7143750"/>
          <a:ext cx="2628900" cy="0"/>
        </a:xfrm>
        <a:prstGeom prst="line">
          <a:avLst/>
        </a:prstGeom>
        <a:noFill/>
        <a:ln w="9525">
          <a:solidFill>
            <a:srgbClr val="000000"/>
          </a:solidFill>
          <a:prstDash val="lgDashDotDot"/>
          <a:round/>
          <a:headEnd/>
          <a:tailEnd/>
        </a:ln>
        <a:extLst>
          <a:ext uri="{909E8E84-426E-40DD-AFC4-6F175D3DCCD1}">
            <a14:hiddenFill xmlns:a14="http://schemas.microsoft.com/office/drawing/2010/main">
              <a:noFill/>
            </a14:hiddenFill>
          </a:ext>
        </a:extLst>
      </xdr:spPr>
    </xdr:sp>
    <xdr:clientData/>
  </xdr:twoCellAnchor>
  <xdr:twoCellAnchor>
    <xdr:from>
      <xdr:col>5</xdr:col>
      <xdr:colOff>95250</xdr:colOff>
      <xdr:row>42</xdr:row>
      <xdr:rowOff>95250</xdr:rowOff>
    </xdr:from>
    <xdr:to>
      <xdr:col>10</xdr:col>
      <xdr:colOff>254000</xdr:colOff>
      <xdr:row>50</xdr:row>
      <xdr:rowOff>133350</xdr:rowOff>
    </xdr:to>
    <xdr:sp macro="" textlink="">
      <xdr:nvSpPr>
        <xdr:cNvPr id="522169" name="Line 54">
          <a:extLst>
            <a:ext uri="{FF2B5EF4-FFF2-40B4-BE49-F238E27FC236}">
              <a16:creationId xmlns:a16="http://schemas.microsoft.com/office/drawing/2014/main" id="{67C85665-73E4-4D49-BA3A-928E53CB97E2}"/>
            </a:ext>
          </a:extLst>
        </xdr:cNvPr>
        <xdr:cNvSpPr>
          <a:spLocks noChangeShapeType="1"/>
        </xdr:cNvSpPr>
      </xdr:nvSpPr>
      <xdr:spPr bwMode="auto">
        <a:xfrm flipH="1">
          <a:off x="5759450" y="7143750"/>
          <a:ext cx="3435350" cy="130810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clientData/>
  </xdr:twoCellAnchor>
  <xdr:oneCellAnchor>
    <xdr:from>
      <xdr:col>3</xdr:col>
      <xdr:colOff>196850</xdr:colOff>
      <xdr:row>79</xdr:row>
      <xdr:rowOff>66675</xdr:rowOff>
    </xdr:from>
    <xdr:ext cx="3328077" cy="330860"/>
    <xdr:sp macro="" textlink="">
      <xdr:nvSpPr>
        <xdr:cNvPr id="1079" name="Text Box 55">
          <a:extLst>
            <a:ext uri="{FF2B5EF4-FFF2-40B4-BE49-F238E27FC236}">
              <a16:creationId xmlns:a16="http://schemas.microsoft.com/office/drawing/2014/main" id="{2D979AF7-6DFC-4F58-A586-569A7EEC96D5}"/>
            </a:ext>
          </a:extLst>
        </xdr:cNvPr>
        <xdr:cNvSpPr txBox="1">
          <a:spLocks noChangeArrowheads="1"/>
        </xdr:cNvSpPr>
      </xdr:nvSpPr>
      <xdr:spPr bwMode="auto">
        <a:xfrm>
          <a:off x="4813300" y="12639675"/>
          <a:ext cx="3140503" cy="330860"/>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Arial"/>
              <a:cs typeface="Arial"/>
            </a:rPr>
            <a:t>3) </a:t>
          </a:r>
          <a:r>
            <a:rPr lang="en-US" sz="1000" b="0" i="0" strike="noStrike">
              <a:solidFill>
                <a:srgbClr val="000000"/>
              </a:solidFill>
              <a:latin typeface="Arial"/>
              <a:cs typeface="Arial"/>
            </a:rPr>
            <a:t>If CASE No. 14 is Selected, Choose Mean  Anomaly </a:t>
          </a:r>
        </a:p>
        <a:p>
          <a:pPr algn="l" rtl="0">
            <a:defRPr sz="1000"/>
          </a:pPr>
          <a:r>
            <a:rPr lang="en-US" sz="1000" b="0" i="0" strike="noStrike">
              <a:solidFill>
                <a:srgbClr val="000000"/>
              </a:solidFill>
              <a:latin typeface="Arial"/>
              <a:cs typeface="Arial"/>
            </a:rPr>
            <a:t>Value and S/C Rcvr Antenna Temp. and Enter Here.</a:t>
          </a:r>
        </a:p>
      </xdr:txBody>
    </xdr:sp>
    <xdr:clientData/>
  </xdr:oneCellAnchor>
  <xdr:twoCellAnchor>
    <xdr:from>
      <xdr:col>3</xdr:col>
      <xdr:colOff>177800</xdr:colOff>
      <xdr:row>79</xdr:row>
      <xdr:rowOff>38100</xdr:rowOff>
    </xdr:from>
    <xdr:to>
      <xdr:col>8</xdr:col>
      <xdr:colOff>209550</xdr:colOff>
      <xdr:row>81</xdr:row>
      <xdr:rowOff>107950</xdr:rowOff>
    </xdr:to>
    <xdr:sp macro="" textlink="">
      <xdr:nvSpPr>
        <xdr:cNvPr id="522171" name="Rectangle 56">
          <a:extLst>
            <a:ext uri="{FF2B5EF4-FFF2-40B4-BE49-F238E27FC236}">
              <a16:creationId xmlns:a16="http://schemas.microsoft.com/office/drawing/2014/main" id="{E6DFBBB4-97B7-43C9-926D-DC9F2BA31415}"/>
            </a:ext>
          </a:extLst>
        </xdr:cNvPr>
        <xdr:cNvSpPr>
          <a:spLocks noChangeArrowheads="1"/>
        </xdr:cNvSpPr>
      </xdr:nvSpPr>
      <xdr:spPr bwMode="auto">
        <a:xfrm>
          <a:off x="4394200" y="13068300"/>
          <a:ext cx="3467100" cy="387350"/>
        </a:xfrm>
        <a:prstGeom prst="rect">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xdr:col>
      <xdr:colOff>419100</xdr:colOff>
      <xdr:row>80</xdr:row>
      <xdr:rowOff>82550</xdr:rowOff>
    </xdr:from>
    <xdr:to>
      <xdr:col>3</xdr:col>
      <xdr:colOff>165100</xdr:colOff>
      <xdr:row>80</xdr:row>
      <xdr:rowOff>82550</xdr:rowOff>
    </xdr:to>
    <xdr:sp macro="" textlink="">
      <xdr:nvSpPr>
        <xdr:cNvPr id="522172" name="Line 57">
          <a:extLst>
            <a:ext uri="{FF2B5EF4-FFF2-40B4-BE49-F238E27FC236}">
              <a16:creationId xmlns:a16="http://schemas.microsoft.com/office/drawing/2014/main" id="{2A97C32E-9BCF-4D23-9E62-EE574AD5EC49}"/>
            </a:ext>
          </a:extLst>
        </xdr:cNvPr>
        <xdr:cNvSpPr>
          <a:spLocks noChangeShapeType="1"/>
        </xdr:cNvSpPr>
      </xdr:nvSpPr>
      <xdr:spPr bwMode="auto">
        <a:xfrm flipH="1">
          <a:off x="3752850" y="13271500"/>
          <a:ext cx="62865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431800</xdr:colOff>
      <xdr:row>77</xdr:row>
      <xdr:rowOff>146050</xdr:rowOff>
    </xdr:from>
    <xdr:to>
      <xdr:col>2</xdr:col>
      <xdr:colOff>431800</xdr:colOff>
      <xdr:row>80</xdr:row>
      <xdr:rowOff>63500</xdr:rowOff>
    </xdr:to>
    <xdr:sp macro="" textlink="">
      <xdr:nvSpPr>
        <xdr:cNvPr id="522173" name="Line 58">
          <a:extLst>
            <a:ext uri="{FF2B5EF4-FFF2-40B4-BE49-F238E27FC236}">
              <a16:creationId xmlns:a16="http://schemas.microsoft.com/office/drawing/2014/main" id="{B91C4D6B-D64C-4196-8B51-EC9619855311}"/>
            </a:ext>
          </a:extLst>
        </xdr:cNvPr>
        <xdr:cNvSpPr>
          <a:spLocks noChangeShapeType="1"/>
        </xdr:cNvSpPr>
      </xdr:nvSpPr>
      <xdr:spPr bwMode="auto">
        <a:xfrm flipV="1">
          <a:off x="3765550" y="12858750"/>
          <a:ext cx="0" cy="39370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0</xdr:col>
      <xdr:colOff>104775</xdr:colOff>
      <xdr:row>56</xdr:row>
      <xdr:rowOff>146050</xdr:rowOff>
    </xdr:from>
    <xdr:ext cx="2258696" cy="467436"/>
    <xdr:sp macro="" textlink="">
      <xdr:nvSpPr>
        <xdr:cNvPr id="1083" name="Text Box 59">
          <a:extLst>
            <a:ext uri="{FF2B5EF4-FFF2-40B4-BE49-F238E27FC236}">
              <a16:creationId xmlns:a16="http://schemas.microsoft.com/office/drawing/2014/main" id="{F3C9C906-70F7-447D-A4F9-2BD918876A9F}"/>
            </a:ext>
          </a:extLst>
        </xdr:cNvPr>
        <xdr:cNvSpPr txBox="1">
          <a:spLocks noChangeArrowheads="1"/>
        </xdr:cNvSpPr>
      </xdr:nvSpPr>
      <xdr:spPr bwMode="auto">
        <a:xfrm>
          <a:off x="117475" y="9029700"/>
          <a:ext cx="2121281" cy="48474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Arial"/>
              <a:cs typeface="Arial"/>
            </a:rPr>
            <a:t>2) </a:t>
          </a:r>
          <a:r>
            <a:rPr lang="en-US" sz="1000" b="0" i="0" strike="noStrike">
              <a:solidFill>
                <a:srgbClr val="000000"/>
              </a:solidFill>
              <a:latin typeface="Arial"/>
              <a:cs typeface="Arial"/>
            </a:rPr>
            <a:t>Choose Case No. and Enter Here.</a:t>
          </a:r>
        </a:p>
        <a:p>
          <a:pPr algn="l" rtl="0">
            <a:defRPr sz="1000"/>
          </a:pPr>
          <a:r>
            <a:rPr lang="en-US" sz="1000" b="0" i="0" strike="noStrike">
              <a:solidFill>
                <a:srgbClr val="000000"/>
              </a:solidFill>
              <a:latin typeface="Arial"/>
              <a:cs typeface="Arial"/>
            </a:rPr>
            <a:t>Proceed to "Uplink &amp; Downlink </a:t>
          </a:r>
        </a:p>
        <a:p>
          <a:pPr algn="l" rtl="0">
            <a:defRPr sz="1000"/>
          </a:pPr>
          <a:r>
            <a:rPr lang="en-US" sz="1000" b="0" i="0" strike="noStrike">
              <a:solidFill>
                <a:srgbClr val="000000"/>
              </a:solidFill>
              <a:latin typeface="Arial"/>
              <a:cs typeface="Arial"/>
            </a:rPr>
            <a:t>Choices" Below.</a:t>
          </a:r>
        </a:p>
      </xdr:txBody>
    </xdr:sp>
    <xdr:clientData/>
  </xdr:oneCellAnchor>
  <xdr:twoCellAnchor>
    <xdr:from>
      <xdr:col>0</xdr:col>
      <xdr:colOff>69850</xdr:colOff>
      <xdr:row>56</xdr:row>
      <xdr:rowOff>107950</xdr:rowOff>
    </xdr:from>
    <xdr:to>
      <xdr:col>1</xdr:col>
      <xdr:colOff>527050</xdr:colOff>
      <xdr:row>60</xdr:row>
      <xdr:rowOff>12700</xdr:rowOff>
    </xdr:to>
    <xdr:sp macro="" textlink="">
      <xdr:nvSpPr>
        <xdr:cNvPr id="522175" name="Rectangle 60">
          <a:extLst>
            <a:ext uri="{FF2B5EF4-FFF2-40B4-BE49-F238E27FC236}">
              <a16:creationId xmlns:a16="http://schemas.microsoft.com/office/drawing/2014/main" id="{0647F9AE-ED82-432F-A474-369A20CDADEF}"/>
            </a:ext>
          </a:extLst>
        </xdr:cNvPr>
        <xdr:cNvSpPr>
          <a:spLocks noChangeArrowheads="1"/>
        </xdr:cNvSpPr>
      </xdr:nvSpPr>
      <xdr:spPr bwMode="auto">
        <a:xfrm>
          <a:off x="69850" y="9378950"/>
          <a:ext cx="2438400" cy="558800"/>
        </a:xfrm>
        <a:prstGeom prst="rect">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xdr:col>
      <xdr:colOff>349250</xdr:colOff>
      <xdr:row>60</xdr:row>
      <xdr:rowOff>25400</xdr:rowOff>
    </xdr:from>
    <xdr:to>
      <xdr:col>1</xdr:col>
      <xdr:colOff>349250</xdr:colOff>
      <xdr:row>62</xdr:row>
      <xdr:rowOff>0</xdr:rowOff>
    </xdr:to>
    <xdr:sp macro="" textlink="">
      <xdr:nvSpPr>
        <xdr:cNvPr id="522176" name="Line 61">
          <a:extLst>
            <a:ext uri="{FF2B5EF4-FFF2-40B4-BE49-F238E27FC236}">
              <a16:creationId xmlns:a16="http://schemas.microsoft.com/office/drawing/2014/main" id="{33627B07-FADD-493D-BBAA-B3B1AAB5EF59}"/>
            </a:ext>
          </a:extLst>
        </xdr:cNvPr>
        <xdr:cNvSpPr>
          <a:spLocks noChangeShapeType="1"/>
        </xdr:cNvSpPr>
      </xdr:nvSpPr>
      <xdr:spPr bwMode="auto">
        <a:xfrm flipH="1">
          <a:off x="2330450" y="9950450"/>
          <a:ext cx="0" cy="30480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0</xdr:col>
      <xdr:colOff>165100</xdr:colOff>
      <xdr:row>53</xdr:row>
      <xdr:rowOff>82550</xdr:rowOff>
    </xdr:from>
    <xdr:ext cx="2032198" cy="336876"/>
    <xdr:sp macro="" textlink="">
      <xdr:nvSpPr>
        <xdr:cNvPr id="1086" name="Text Box 62">
          <a:extLst>
            <a:ext uri="{FF2B5EF4-FFF2-40B4-BE49-F238E27FC236}">
              <a16:creationId xmlns:a16="http://schemas.microsoft.com/office/drawing/2014/main" id="{2FE58DFB-925B-4269-B172-88A5AAD62ECF}"/>
            </a:ext>
          </a:extLst>
        </xdr:cNvPr>
        <xdr:cNvSpPr txBox="1">
          <a:spLocks noChangeArrowheads="1"/>
        </xdr:cNvSpPr>
      </xdr:nvSpPr>
      <xdr:spPr bwMode="auto">
        <a:xfrm>
          <a:off x="177800" y="8509000"/>
          <a:ext cx="1942947" cy="330860"/>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u="none" strike="noStrike" baseline="0">
              <a:solidFill>
                <a:srgbClr val="000000"/>
              </a:solidFill>
              <a:latin typeface="Arial"/>
              <a:ea typeface="Arial"/>
              <a:cs typeface="Arial"/>
            </a:rPr>
            <a:t>1)</a:t>
          </a:r>
          <a:r>
            <a:rPr lang="en-US" sz="1000" b="0" i="0" u="none" strike="noStrike" baseline="0">
              <a:solidFill>
                <a:srgbClr val="000000"/>
              </a:solidFill>
              <a:latin typeface="Arial"/>
              <a:ea typeface="Arial"/>
              <a:cs typeface="Arial"/>
            </a:rPr>
            <a:t> To Change Orbit Keplarians</a:t>
          </a:r>
        </a:p>
        <a:p>
          <a:pPr algn="l" rtl="0">
            <a:defRPr sz="1000"/>
          </a:pPr>
          <a:r>
            <a:rPr lang="en-US" sz="1000" b="0" i="0" u="none" strike="noStrike" baseline="0">
              <a:solidFill>
                <a:srgbClr val="000000"/>
              </a:solidFill>
              <a:latin typeface="Arial"/>
              <a:ea typeface="Arial"/>
              <a:cs typeface="Arial"/>
            </a:rPr>
            <a:t>Modify </a:t>
          </a:r>
          <a:r>
            <a:rPr lang="en-US" sz="1000" b="1" i="0" u="none" strike="noStrike" baseline="0">
              <a:solidFill>
                <a:srgbClr val="000000"/>
              </a:solidFill>
              <a:latin typeface="Arial"/>
              <a:ea typeface="Arial"/>
              <a:cs typeface="Arial"/>
            </a:rPr>
            <a:t>ONLY</a:t>
          </a:r>
          <a:r>
            <a:rPr lang="en-US" sz="1000" b="0" i="0" u="none" strike="noStrike" baseline="0">
              <a:solidFill>
                <a:srgbClr val="000000"/>
              </a:solidFill>
              <a:latin typeface="Arial"/>
              <a:ea typeface="Arial"/>
              <a:cs typeface="Arial"/>
            </a:rPr>
            <a:t> </a:t>
          </a:r>
          <a:r>
            <a:rPr lang="en-US" sz="1000" b="0" i="0" u="none" strike="noStrike" baseline="0">
              <a:solidFill>
                <a:srgbClr val="0000FF"/>
              </a:solidFill>
              <a:latin typeface="Arial"/>
              <a:ea typeface="Arial"/>
              <a:cs typeface="Arial"/>
            </a:rPr>
            <a:t>Blue</a:t>
          </a:r>
          <a:r>
            <a:rPr lang="en-US" sz="1000" b="0" i="0" u="none" strike="noStrike" baseline="0">
              <a:solidFill>
                <a:srgbClr val="000000"/>
              </a:solidFill>
              <a:latin typeface="Arial"/>
              <a:ea typeface="Arial"/>
              <a:cs typeface="Arial"/>
            </a:rPr>
            <a:t> Values Above.</a:t>
          </a:r>
        </a:p>
      </xdr:txBody>
    </xdr:sp>
    <xdr:clientData/>
  </xdr:oneCellAnchor>
  <xdr:twoCellAnchor>
    <xdr:from>
      <xdr:col>0</xdr:col>
      <xdr:colOff>114300</xdr:colOff>
      <xdr:row>53</xdr:row>
      <xdr:rowOff>50800</xdr:rowOff>
    </xdr:from>
    <xdr:to>
      <xdr:col>1</xdr:col>
      <xdr:colOff>463550</xdr:colOff>
      <xdr:row>55</xdr:row>
      <xdr:rowOff>133350</xdr:rowOff>
    </xdr:to>
    <xdr:sp macro="" textlink="">
      <xdr:nvSpPr>
        <xdr:cNvPr id="522178" name="Rectangle 63">
          <a:extLst>
            <a:ext uri="{FF2B5EF4-FFF2-40B4-BE49-F238E27FC236}">
              <a16:creationId xmlns:a16="http://schemas.microsoft.com/office/drawing/2014/main" id="{EFA5F486-D72F-4D1A-8FB1-BA294AEA1BAA}"/>
            </a:ext>
          </a:extLst>
        </xdr:cNvPr>
        <xdr:cNvSpPr>
          <a:spLocks noChangeArrowheads="1"/>
        </xdr:cNvSpPr>
      </xdr:nvSpPr>
      <xdr:spPr bwMode="auto">
        <a:xfrm>
          <a:off x="114300" y="8845550"/>
          <a:ext cx="2330450" cy="400050"/>
        </a:xfrm>
        <a:prstGeom prst="rect">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7</xdr:col>
      <xdr:colOff>311150</xdr:colOff>
      <xdr:row>77</xdr:row>
      <xdr:rowOff>82550</xdr:rowOff>
    </xdr:from>
    <xdr:to>
      <xdr:col>7</xdr:col>
      <xdr:colOff>565150</xdr:colOff>
      <xdr:row>77</xdr:row>
      <xdr:rowOff>82550</xdr:rowOff>
    </xdr:to>
    <xdr:sp macro="" textlink="">
      <xdr:nvSpPr>
        <xdr:cNvPr id="522179" name="Line 64">
          <a:extLst>
            <a:ext uri="{FF2B5EF4-FFF2-40B4-BE49-F238E27FC236}">
              <a16:creationId xmlns:a16="http://schemas.microsoft.com/office/drawing/2014/main" id="{029867BA-C591-4438-9993-8151FA6E92F1}"/>
            </a:ext>
          </a:extLst>
        </xdr:cNvPr>
        <xdr:cNvSpPr>
          <a:spLocks noChangeShapeType="1"/>
        </xdr:cNvSpPr>
      </xdr:nvSpPr>
      <xdr:spPr bwMode="auto">
        <a:xfrm flipH="1">
          <a:off x="7346950" y="12795250"/>
          <a:ext cx="254000" cy="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8</xdr:col>
      <xdr:colOff>533400</xdr:colOff>
      <xdr:row>42</xdr:row>
      <xdr:rowOff>133350</xdr:rowOff>
    </xdr:from>
    <xdr:to>
      <xdr:col>9</xdr:col>
      <xdr:colOff>0</xdr:colOff>
      <xdr:row>44</xdr:row>
      <xdr:rowOff>38100</xdr:rowOff>
    </xdr:to>
    <xdr:sp macro="" textlink="">
      <xdr:nvSpPr>
        <xdr:cNvPr id="522180" name="AutoShape 65">
          <a:extLst>
            <a:ext uri="{FF2B5EF4-FFF2-40B4-BE49-F238E27FC236}">
              <a16:creationId xmlns:a16="http://schemas.microsoft.com/office/drawing/2014/main" id="{DB0B3238-ADFE-48C6-A887-01D56C8E59FF}"/>
            </a:ext>
          </a:extLst>
        </xdr:cNvPr>
        <xdr:cNvSpPr>
          <a:spLocks noChangeArrowheads="1"/>
        </xdr:cNvSpPr>
      </xdr:nvSpPr>
      <xdr:spPr bwMode="auto">
        <a:xfrm>
          <a:off x="8185150" y="7181850"/>
          <a:ext cx="82550" cy="222250"/>
        </a:xfrm>
        <a:prstGeom prst="curvedRightArrow">
          <a:avLst>
            <a:gd name="adj1" fmla="val 3191"/>
            <a:gd name="adj2" fmla="val 107692"/>
            <a:gd name="adj3" fmla="val 37500"/>
          </a:avLst>
        </a:prstGeom>
        <a:solidFill>
          <a:srgbClr val="FFFFFF"/>
        </a:solidFill>
        <a:ln w="9525">
          <a:solidFill>
            <a:srgbClr val="000000"/>
          </a:solidFill>
          <a:miter lim="800000"/>
          <a:headEnd/>
          <a:tailEnd/>
        </a:ln>
      </xdr:spPr>
    </xdr:sp>
    <xdr:clientData/>
  </xdr:twoCellAnchor>
  <xdr:twoCellAnchor>
    <xdr:from>
      <xdr:col>6</xdr:col>
      <xdr:colOff>127000</xdr:colOff>
      <xdr:row>47</xdr:row>
      <xdr:rowOff>82550</xdr:rowOff>
    </xdr:from>
    <xdr:to>
      <xdr:col>6</xdr:col>
      <xdr:colOff>209550</xdr:colOff>
      <xdr:row>48</xdr:row>
      <xdr:rowOff>146050</xdr:rowOff>
    </xdr:to>
    <xdr:sp macro="" textlink="">
      <xdr:nvSpPr>
        <xdr:cNvPr id="522181" name="AutoShape 66">
          <a:extLst>
            <a:ext uri="{FF2B5EF4-FFF2-40B4-BE49-F238E27FC236}">
              <a16:creationId xmlns:a16="http://schemas.microsoft.com/office/drawing/2014/main" id="{D31BA3C1-8F33-4E80-BB80-E31C0928633B}"/>
            </a:ext>
          </a:extLst>
        </xdr:cNvPr>
        <xdr:cNvSpPr>
          <a:spLocks noChangeArrowheads="1"/>
        </xdr:cNvSpPr>
      </xdr:nvSpPr>
      <xdr:spPr bwMode="auto">
        <a:xfrm rot="10578723">
          <a:off x="6407150" y="7924800"/>
          <a:ext cx="82550" cy="222250"/>
        </a:xfrm>
        <a:prstGeom prst="curvedRightArrow">
          <a:avLst>
            <a:gd name="adj1" fmla="val 3191"/>
            <a:gd name="adj2" fmla="val 107692"/>
            <a:gd name="adj3" fmla="val 37500"/>
          </a:avLst>
        </a:prstGeom>
        <a:solidFill>
          <a:srgbClr val="FFFFFF"/>
        </a:solidFill>
        <a:ln w="9525">
          <a:solidFill>
            <a:srgbClr val="000000"/>
          </a:solidFill>
          <a:miter lim="800000"/>
          <a:headEnd/>
          <a:tailEnd/>
        </a:ln>
      </xdr:spPr>
    </xdr:sp>
    <xdr:clientData/>
  </xdr:twoCellAnchor>
  <xdr:twoCellAnchor>
    <xdr:from>
      <xdr:col>7</xdr:col>
      <xdr:colOff>336550</xdr:colOff>
      <xdr:row>45</xdr:row>
      <xdr:rowOff>146050</xdr:rowOff>
    </xdr:from>
    <xdr:to>
      <xdr:col>7</xdr:col>
      <xdr:colOff>419100</xdr:colOff>
      <xdr:row>46</xdr:row>
      <xdr:rowOff>120650</xdr:rowOff>
    </xdr:to>
    <xdr:sp macro="" textlink="">
      <xdr:nvSpPr>
        <xdr:cNvPr id="522182" name="AutoShape 67">
          <a:extLst>
            <a:ext uri="{FF2B5EF4-FFF2-40B4-BE49-F238E27FC236}">
              <a16:creationId xmlns:a16="http://schemas.microsoft.com/office/drawing/2014/main" id="{C1F1DB40-81A1-4BB9-9E02-85BDE4434C34}"/>
            </a:ext>
          </a:extLst>
        </xdr:cNvPr>
        <xdr:cNvSpPr>
          <a:spLocks noChangeArrowheads="1"/>
        </xdr:cNvSpPr>
      </xdr:nvSpPr>
      <xdr:spPr bwMode="auto">
        <a:xfrm>
          <a:off x="7372350" y="7670800"/>
          <a:ext cx="82550" cy="133350"/>
        </a:xfrm>
        <a:prstGeom prst="curvedRightArrow">
          <a:avLst>
            <a:gd name="adj1" fmla="val 957"/>
            <a:gd name="adj2" fmla="val 63658"/>
            <a:gd name="adj3" fmla="val 12500"/>
          </a:avLst>
        </a:prstGeom>
        <a:solidFill>
          <a:srgbClr val="FFFFFF"/>
        </a:solidFill>
        <a:ln w="9525">
          <a:solidFill>
            <a:srgbClr val="000000"/>
          </a:solidFill>
          <a:miter lim="800000"/>
          <a:headEnd/>
          <a:tailEnd/>
        </a:ln>
      </xdr:spPr>
    </xdr:sp>
    <xdr:clientData/>
  </xdr:twoCellAnchor>
  <xdr:oneCellAnchor>
    <xdr:from>
      <xdr:col>9</xdr:col>
      <xdr:colOff>31750</xdr:colOff>
      <xdr:row>42</xdr:row>
      <xdr:rowOff>111125</xdr:rowOff>
    </xdr:from>
    <xdr:ext cx="99386" cy="180178"/>
    <xdr:sp macro="" textlink="">
      <xdr:nvSpPr>
        <xdr:cNvPr id="1092" name="Text Box 68">
          <a:extLst>
            <a:ext uri="{FF2B5EF4-FFF2-40B4-BE49-F238E27FC236}">
              <a16:creationId xmlns:a16="http://schemas.microsoft.com/office/drawing/2014/main" id="{84CDE388-45B3-4798-8EA5-6721B49D9C8D}"/>
            </a:ext>
          </a:extLst>
        </xdr:cNvPr>
        <xdr:cNvSpPr txBox="1">
          <a:spLocks noChangeArrowheads="1"/>
        </xdr:cNvSpPr>
      </xdr:nvSpPr>
      <xdr:spPr bwMode="auto">
        <a:xfrm>
          <a:off x="8316383" y="7227358"/>
          <a:ext cx="99386"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u="none" strike="noStrike" baseline="0">
              <a:solidFill>
                <a:srgbClr val="0000FF"/>
              </a:solidFill>
              <a:latin typeface="Symbol"/>
              <a:ea typeface="Symbol"/>
              <a:cs typeface="Symbol"/>
            </a:rPr>
            <a:t>a</a:t>
          </a:r>
        </a:p>
      </xdr:txBody>
    </xdr:sp>
    <xdr:clientData/>
  </xdr:oneCellAnchor>
  <xdr:oneCellAnchor>
    <xdr:from>
      <xdr:col>5</xdr:col>
      <xdr:colOff>568325</xdr:colOff>
      <xdr:row>47</xdr:row>
      <xdr:rowOff>146050</xdr:rowOff>
    </xdr:from>
    <xdr:ext cx="88870" cy="180178"/>
    <xdr:sp macro="" textlink="">
      <xdr:nvSpPr>
        <xdr:cNvPr id="1093" name="Text Box 69">
          <a:extLst>
            <a:ext uri="{FF2B5EF4-FFF2-40B4-BE49-F238E27FC236}">
              <a16:creationId xmlns:a16="http://schemas.microsoft.com/office/drawing/2014/main" id="{ACD6054B-6237-4958-9480-E555103DBEA3}"/>
            </a:ext>
          </a:extLst>
        </xdr:cNvPr>
        <xdr:cNvSpPr txBox="1">
          <a:spLocks noChangeArrowheads="1"/>
        </xdr:cNvSpPr>
      </xdr:nvSpPr>
      <xdr:spPr bwMode="auto">
        <a:xfrm>
          <a:off x="6240992" y="8066617"/>
          <a:ext cx="88870"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u="none" strike="noStrike" baseline="0">
              <a:solidFill>
                <a:srgbClr val="0000FF"/>
              </a:solidFill>
              <a:latin typeface="Symbol"/>
              <a:ea typeface="Symbol"/>
              <a:cs typeface="Symbol"/>
            </a:rPr>
            <a:t>b</a:t>
          </a:r>
        </a:p>
      </xdr:txBody>
    </xdr:sp>
    <xdr:clientData/>
  </xdr:oneCellAnchor>
  <xdr:twoCellAnchor>
    <xdr:from>
      <xdr:col>4</xdr:col>
      <xdr:colOff>527050</xdr:colOff>
      <xdr:row>42</xdr:row>
      <xdr:rowOff>95250</xdr:rowOff>
    </xdr:from>
    <xdr:to>
      <xdr:col>10</xdr:col>
      <xdr:colOff>254000</xdr:colOff>
      <xdr:row>47</xdr:row>
      <xdr:rowOff>12700</xdr:rowOff>
    </xdr:to>
    <xdr:sp macro="" textlink="">
      <xdr:nvSpPr>
        <xdr:cNvPr id="522185" name="Line 70">
          <a:extLst>
            <a:ext uri="{FF2B5EF4-FFF2-40B4-BE49-F238E27FC236}">
              <a16:creationId xmlns:a16="http://schemas.microsoft.com/office/drawing/2014/main" id="{B5038051-6829-4516-B414-201CD1738A85}"/>
            </a:ext>
          </a:extLst>
        </xdr:cNvPr>
        <xdr:cNvSpPr>
          <a:spLocks noChangeShapeType="1"/>
        </xdr:cNvSpPr>
      </xdr:nvSpPr>
      <xdr:spPr bwMode="auto">
        <a:xfrm flipH="1">
          <a:off x="5537200" y="7143750"/>
          <a:ext cx="3657600" cy="71120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558800</xdr:colOff>
      <xdr:row>45</xdr:row>
      <xdr:rowOff>82550</xdr:rowOff>
    </xdr:from>
    <xdr:to>
      <xdr:col>7</xdr:col>
      <xdr:colOff>25400</xdr:colOff>
      <xdr:row>48</xdr:row>
      <xdr:rowOff>50800</xdr:rowOff>
    </xdr:to>
    <xdr:sp macro="" textlink="">
      <xdr:nvSpPr>
        <xdr:cNvPr id="522186" name="AutoShape 71">
          <a:extLst>
            <a:ext uri="{FF2B5EF4-FFF2-40B4-BE49-F238E27FC236}">
              <a16:creationId xmlns:a16="http://schemas.microsoft.com/office/drawing/2014/main" id="{CFDA1234-E72E-4A36-9B15-891876E0CEF6}"/>
            </a:ext>
          </a:extLst>
        </xdr:cNvPr>
        <xdr:cNvSpPr>
          <a:spLocks noChangeArrowheads="1"/>
        </xdr:cNvSpPr>
      </xdr:nvSpPr>
      <xdr:spPr bwMode="auto">
        <a:xfrm rot="-993328">
          <a:off x="6838950" y="7607300"/>
          <a:ext cx="222250" cy="444500"/>
        </a:xfrm>
        <a:prstGeom prst="curvedRightArrow">
          <a:avLst>
            <a:gd name="adj1" fmla="val 2370"/>
            <a:gd name="adj2" fmla="val 80000"/>
            <a:gd name="adj3" fmla="val 37500"/>
          </a:avLst>
        </a:prstGeom>
        <a:solidFill>
          <a:srgbClr val="FFFFFF"/>
        </a:solidFill>
        <a:ln w="9525">
          <a:solidFill>
            <a:srgbClr val="000000"/>
          </a:solidFill>
          <a:miter lim="800000"/>
          <a:headEnd/>
          <a:tailEnd/>
        </a:ln>
      </xdr:spPr>
    </xdr:sp>
    <xdr:clientData/>
  </xdr:twoCellAnchor>
  <xdr:oneCellAnchor>
    <xdr:from>
      <xdr:col>6</xdr:col>
      <xdr:colOff>587375</xdr:colOff>
      <xdr:row>45</xdr:row>
      <xdr:rowOff>79375</xdr:rowOff>
    </xdr:from>
    <xdr:ext cx="71173" cy="180178"/>
    <xdr:sp macro="" textlink="">
      <xdr:nvSpPr>
        <xdr:cNvPr id="1096" name="Text Box 72">
          <a:extLst>
            <a:ext uri="{FF2B5EF4-FFF2-40B4-BE49-F238E27FC236}">
              <a16:creationId xmlns:a16="http://schemas.microsoft.com/office/drawing/2014/main" id="{1453A12B-8CC7-42A8-9204-D3838A616DB1}"/>
            </a:ext>
          </a:extLst>
        </xdr:cNvPr>
        <xdr:cNvSpPr txBox="1">
          <a:spLocks noChangeArrowheads="1"/>
        </xdr:cNvSpPr>
      </xdr:nvSpPr>
      <xdr:spPr bwMode="auto">
        <a:xfrm>
          <a:off x="6878108" y="7678208"/>
          <a:ext cx="71173"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u="none" strike="noStrike" baseline="0">
              <a:solidFill>
                <a:srgbClr val="0000FF"/>
              </a:solidFill>
              <a:latin typeface="Symbol"/>
              <a:ea typeface="Symbol"/>
              <a:cs typeface="Symbol"/>
            </a:rPr>
            <a:t>g</a:t>
          </a:r>
        </a:p>
      </xdr:txBody>
    </xdr:sp>
    <xdr:clientData/>
  </xdr:oneCellAnchor>
  <xdr:oneCellAnchor>
    <xdr:from>
      <xdr:col>7</xdr:col>
      <xdr:colOff>419100</xdr:colOff>
      <xdr:row>45</xdr:row>
      <xdr:rowOff>82550</xdr:rowOff>
    </xdr:from>
    <xdr:ext cx="178126" cy="180178"/>
    <xdr:sp macro="" textlink="">
      <xdr:nvSpPr>
        <xdr:cNvPr id="1097" name="Text Box 73">
          <a:extLst>
            <a:ext uri="{FF2B5EF4-FFF2-40B4-BE49-F238E27FC236}">
              <a16:creationId xmlns:a16="http://schemas.microsoft.com/office/drawing/2014/main" id="{3E2120AB-DBD8-4EB8-A1CA-CE53BEB2EF6F}"/>
            </a:ext>
          </a:extLst>
        </xdr:cNvPr>
        <xdr:cNvSpPr txBox="1">
          <a:spLocks noChangeArrowheads="1"/>
        </xdr:cNvSpPr>
      </xdr:nvSpPr>
      <xdr:spPr bwMode="auto">
        <a:xfrm>
          <a:off x="7467600" y="7681383"/>
          <a:ext cx="178126"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bg-BG" sz="1000" b="0" i="0" u="none" strike="noStrike" baseline="0">
              <a:solidFill>
                <a:srgbClr val="0000FF"/>
              </a:solidFill>
              <a:latin typeface="Symbol"/>
              <a:ea typeface="Symbol"/>
              <a:cs typeface="Symbol"/>
            </a:rPr>
            <a:t>g/</a:t>
          </a:r>
          <a:r>
            <a:rPr lang="bg-BG" sz="1000" b="0" i="0" u="none" strike="noStrike" baseline="0">
              <a:solidFill>
                <a:srgbClr val="0000FF"/>
              </a:solidFill>
              <a:latin typeface="Arial"/>
              <a:ea typeface="Arial"/>
              <a:cs typeface="Arial"/>
            </a:rPr>
            <a:t>2</a:t>
          </a:r>
        </a:p>
      </xdr:txBody>
    </xdr:sp>
    <xdr:clientData/>
  </xdr:oneCellAnchor>
  <xdr:oneCellAnchor>
    <xdr:from>
      <xdr:col>3</xdr:col>
      <xdr:colOff>73025</xdr:colOff>
      <xdr:row>55</xdr:row>
      <xdr:rowOff>146050</xdr:rowOff>
    </xdr:from>
    <xdr:ext cx="1352934" cy="180178"/>
    <xdr:sp macro="" textlink="">
      <xdr:nvSpPr>
        <xdr:cNvPr id="1098" name="Text Box 74">
          <a:extLst>
            <a:ext uri="{FF2B5EF4-FFF2-40B4-BE49-F238E27FC236}">
              <a16:creationId xmlns:a16="http://schemas.microsoft.com/office/drawing/2014/main" id="{AD0D55C2-038A-486C-BA0C-6B74822735BA}"/>
            </a:ext>
          </a:extLst>
        </xdr:cNvPr>
        <xdr:cNvSpPr txBox="1">
          <a:spLocks noChangeArrowheads="1"/>
        </xdr:cNvSpPr>
      </xdr:nvSpPr>
      <xdr:spPr bwMode="auto">
        <a:xfrm>
          <a:off x="4293658" y="9353550"/>
          <a:ext cx="1352934"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Symbol"/>
            </a:rPr>
            <a:t>a = </a:t>
          </a:r>
          <a:r>
            <a:rPr lang="en-US" sz="1000" b="0" i="0" strike="noStrike">
              <a:solidFill>
                <a:srgbClr val="000000"/>
              </a:solidFill>
              <a:latin typeface="Arial"/>
              <a:cs typeface="Arial"/>
            </a:rPr>
            <a:t>S/C Off-Point Angle</a:t>
          </a:r>
        </a:p>
      </xdr:txBody>
    </xdr:sp>
    <xdr:clientData/>
  </xdr:oneCellAnchor>
  <xdr:oneCellAnchor>
    <xdr:from>
      <xdr:col>3</xdr:col>
      <xdr:colOff>31750</xdr:colOff>
      <xdr:row>57</xdr:row>
      <xdr:rowOff>44450</xdr:rowOff>
    </xdr:from>
    <xdr:ext cx="2571088" cy="180178"/>
    <xdr:sp macro="" textlink="">
      <xdr:nvSpPr>
        <xdr:cNvPr id="1099" name="Text Box 75">
          <a:extLst>
            <a:ext uri="{FF2B5EF4-FFF2-40B4-BE49-F238E27FC236}">
              <a16:creationId xmlns:a16="http://schemas.microsoft.com/office/drawing/2014/main" id="{82EF30C5-D489-4B31-8A77-E4C389CF8457}"/>
            </a:ext>
          </a:extLst>
        </xdr:cNvPr>
        <xdr:cNvSpPr txBox="1">
          <a:spLocks noChangeArrowheads="1"/>
        </xdr:cNvSpPr>
      </xdr:nvSpPr>
      <xdr:spPr bwMode="auto">
        <a:xfrm>
          <a:off x="4252383" y="9573683"/>
          <a:ext cx="2571088"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Symbol"/>
            </a:rPr>
            <a:t>b = (180-M)</a:t>
          </a:r>
          <a:r>
            <a:rPr lang="en-US" sz="1000" b="0" i="0" strike="noStrike">
              <a:solidFill>
                <a:srgbClr val="000000"/>
              </a:solidFill>
              <a:latin typeface="Arial"/>
              <a:cs typeface="Arial"/>
            </a:rPr>
            <a:t> deg.= Angle from S/C to Apogee</a:t>
          </a:r>
        </a:p>
      </xdr:txBody>
    </xdr:sp>
    <xdr:clientData/>
  </xdr:oneCellAnchor>
  <xdr:oneCellAnchor>
    <xdr:from>
      <xdr:col>3</xdr:col>
      <xdr:colOff>31750</xdr:colOff>
      <xdr:row>58</xdr:row>
      <xdr:rowOff>82550</xdr:rowOff>
    </xdr:from>
    <xdr:ext cx="2094291" cy="180178"/>
    <xdr:sp macro="" textlink="">
      <xdr:nvSpPr>
        <xdr:cNvPr id="1100" name="Text Box 76">
          <a:extLst>
            <a:ext uri="{FF2B5EF4-FFF2-40B4-BE49-F238E27FC236}">
              <a16:creationId xmlns:a16="http://schemas.microsoft.com/office/drawing/2014/main" id="{E21DF327-0ED5-4915-995E-6A301C471AC4}"/>
            </a:ext>
          </a:extLst>
        </xdr:cNvPr>
        <xdr:cNvSpPr txBox="1">
          <a:spLocks noChangeArrowheads="1"/>
        </xdr:cNvSpPr>
      </xdr:nvSpPr>
      <xdr:spPr bwMode="auto">
        <a:xfrm>
          <a:off x="4252383" y="9776883"/>
          <a:ext cx="2094291"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Symbol"/>
            </a:rPr>
            <a:t>g = </a:t>
          </a:r>
          <a:r>
            <a:rPr lang="en-US" sz="1000" b="0" i="0" strike="noStrike">
              <a:solidFill>
                <a:srgbClr val="000000"/>
              </a:solidFill>
              <a:latin typeface="Arial"/>
              <a:cs typeface="Arial"/>
            </a:rPr>
            <a:t>Earth Diameter as seen from S/C</a:t>
          </a:r>
        </a:p>
      </xdr:txBody>
    </xdr:sp>
    <xdr:clientData/>
  </xdr:oneCellAnchor>
  <xdr:oneCellAnchor>
    <xdr:from>
      <xdr:col>3</xdr:col>
      <xdr:colOff>31750</xdr:colOff>
      <xdr:row>59</xdr:row>
      <xdr:rowOff>82550</xdr:rowOff>
    </xdr:from>
    <xdr:ext cx="1985544" cy="180178"/>
    <xdr:sp macro="" textlink="">
      <xdr:nvSpPr>
        <xdr:cNvPr id="1101" name="Text Box 77">
          <a:extLst>
            <a:ext uri="{FF2B5EF4-FFF2-40B4-BE49-F238E27FC236}">
              <a16:creationId xmlns:a16="http://schemas.microsoft.com/office/drawing/2014/main" id="{93D12529-6AC0-4333-929E-66F876A07B27}"/>
            </a:ext>
          </a:extLst>
        </xdr:cNvPr>
        <xdr:cNvSpPr txBox="1">
          <a:spLocks noChangeArrowheads="1"/>
        </xdr:cNvSpPr>
      </xdr:nvSpPr>
      <xdr:spPr bwMode="auto">
        <a:xfrm>
          <a:off x="4252383" y="9941983"/>
          <a:ext cx="1985544"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Symbol"/>
            </a:rPr>
            <a:t>a + g/2 =  </a:t>
          </a:r>
          <a:r>
            <a:rPr lang="en-US" sz="1000" b="0" i="0" strike="noStrike">
              <a:solidFill>
                <a:srgbClr val="000000"/>
              </a:solidFill>
              <a:latin typeface="Arial"/>
              <a:cs typeface="Arial"/>
            </a:rPr>
            <a:t>Worst Case Squint Angle</a:t>
          </a:r>
        </a:p>
      </xdr:txBody>
    </xdr:sp>
    <xdr:clientData/>
  </xdr:oneCellAnchor>
  <xdr:oneCellAnchor>
    <xdr:from>
      <xdr:col>6</xdr:col>
      <xdr:colOff>320675</xdr:colOff>
      <xdr:row>41</xdr:row>
      <xdr:rowOff>111125</xdr:rowOff>
    </xdr:from>
    <xdr:ext cx="1244210" cy="176972"/>
    <xdr:sp macro="" textlink="">
      <xdr:nvSpPr>
        <xdr:cNvPr id="1102" name="Text Box 78">
          <a:extLst>
            <a:ext uri="{FF2B5EF4-FFF2-40B4-BE49-F238E27FC236}">
              <a16:creationId xmlns:a16="http://schemas.microsoft.com/office/drawing/2014/main" id="{5265430F-647F-4894-B8EE-00542772174A}"/>
            </a:ext>
          </a:extLst>
        </xdr:cNvPr>
        <xdr:cNvSpPr txBox="1">
          <a:spLocks noChangeArrowheads="1"/>
        </xdr:cNvSpPr>
      </xdr:nvSpPr>
      <xdr:spPr bwMode="auto">
        <a:xfrm>
          <a:off x="7197725" y="6708775"/>
          <a:ext cx="1137563"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Arial"/>
              <a:cs typeface="Arial"/>
            </a:rPr>
            <a:t>S/C Pointing Vector</a:t>
          </a:r>
        </a:p>
      </xdr:txBody>
    </xdr:sp>
    <xdr:clientData/>
  </xdr:oneCellAnchor>
  <xdr:oneCellAnchor>
    <xdr:from>
      <xdr:col>3</xdr:col>
      <xdr:colOff>82550</xdr:colOff>
      <xdr:row>54</xdr:row>
      <xdr:rowOff>38100</xdr:rowOff>
    </xdr:from>
    <xdr:ext cx="304314" cy="180178"/>
    <xdr:sp macro="" textlink="">
      <xdr:nvSpPr>
        <xdr:cNvPr id="1103" name="Text Box 79">
          <a:extLst>
            <a:ext uri="{FF2B5EF4-FFF2-40B4-BE49-F238E27FC236}">
              <a16:creationId xmlns:a16="http://schemas.microsoft.com/office/drawing/2014/main" id="{E0DBEA56-FA51-4A64-B04B-2C11D93C6A34}"/>
            </a:ext>
          </a:extLst>
        </xdr:cNvPr>
        <xdr:cNvSpPr txBox="1">
          <a:spLocks noChangeArrowheads="1"/>
        </xdr:cNvSpPr>
      </xdr:nvSpPr>
      <xdr:spPr bwMode="auto">
        <a:xfrm>
          <a:off x="4303183" y="9084733"/>
          <a:ext cx="304314"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Symbol"/>
            </a:rPr>
            <a:t>a = b</a:t>
          </a:r>
        </a:p>
      </xdr:txBody>
    </xdr:sp>
    <xdr:clientData/>
  </xdr:oneCellAnchor>
  <xdr:twoCellAnchor>
    <xdr:from>
      <xdr:col>3</xdr:col>
      <xdr:colOff>762000</xdr:colOff>
      <xdr:row>48</xdr:row>
      <xdr:rowOff>107950</xdr:rowOff>
    </xdr:from>
    <xdr:to>
      <xdr:col>4</xdr:col>
      <xdr:colOff>38100</xdr:colOff>
      <xdr:row>49</xdr:row>
      <xdr:rowOff>50800</xdr:rowOff>
    </xdr:to>
    <xdr:sp macro="" textlink="">
      <xdr:nvSpPr>
        <xdr:cNvPr id="522195" name="Oval 80">
          <a:extLst>
            <a:ext uri="{FF2B5EF4-FFF2-40B4-BE49-F238E27FC236}">
              <a16:creationId xmlns:a16="http://schemas.microsoft.com/office/drawing/2014/main" id="{550BB3FE-3661-4E33-993B-99FF9C986C8A}"/>
            </a:ext>
          </a:extLst>
        </xdr:cNvPr>
        <xdr:cNvSpPr>
          <a:spLocks noChangeArrowheads="1"/>
        </xdr:cNvSpPr>
      </xdr:nvSpPr>
      <xdr:spPr bwMode="auto">
        <a:xfrm>
          <a:off x="4978400" y="8108950"/>
          <a:ext cx="69850" cy="101600"/>
        </a:xfrm>
        <a:prstGeom prst="ellipse">
          <a:avLst/>
        </a:prstGeom>
        <a:solidFill>
          <a:srgbClr val="FF0000"/>
        </a:solidFill>
        <a:ln w="9525">
          <a:solidFill>
            <a:srgbClr val="FF0000"/>
          </a:solidFill>
          <a:round/>
          <a:headEnd/>
          <a:tailEnd/>
        </a:ln>
      </xdr:spPr>
    </xdr:sp>
    <xdr:clientData/>
  </xdr:twoCellAnchor>
  <xdr:twoCellAnchor>
    <xdr:from>
      <xdr:col>11</xdr:col>
      <xdr:colOff>323850</xdr:colOff>
      <xdr:row>48</xdr:row>
      <xdr:rowOff>107950</xdr:rowOff>
    </xdr:from>
    <xdr:to>
      <xdr:col>11</xdr:col>
      <xdr:colOff>406400</xdr:colOff>
      <xdr:row>49</xdr:row>
      <xdr:rowOff>38100</xdr:rowOff>
    </xdr:to>
    <xdr:sp macro="" textlink="">
      <xdr:nvSpPr>
        <xdr:cNvPr id="522196" name="Oval 81">
          <a:extLst>
            <a:ext uri="{FF2B5EF4-FFF2-40B4-BE49-F238E27FC236}">
              <a16:creationId xmlns:a16="http://schemas.microsoft.com/office/drawing/2014/main" id="{01ECC60B-135D-4173-B165-59E3E316962E}"/>
            </a:ext>
          </a:extLst>
        </xdr:cNvPr>
        <xdr:cNvSpPr>
          <a:spLocks noChangeArrowheads="1"/>
        </xdr:cNvSpPr>
      </xdr:nvSpPr>
      <xdr:spPr bwMode="auto">
        <a:xfrm>
          <a:off x="10007600" y="8108950"/>
          <a:ext cx="82550" cy="88900"/>
        </a:xfrm>
        <a:prstGeom prst="ellipse">
          <a:avLst/>
        </a:prstGeom>
        <a:solidFill>
          <a:srgbClr val="FF0000"/>
        </a:solidFill>
        <a:ln w="9525">
          <a:solidFill>
            <a:srgbClr val="FF0000"/>
          </a:solidFill>
          <a:round/>
          <a:headEnd/>
          <a:tailEnd/>
        </a:ln>
      </xdr:spPr>
    </xdr:sp>
    <xdr:clientData/>
  </xdr:twoCellAnchor>
  <xdr:twoCellAnchor>
    <xdr:from>
      <xdr:col>4</xdr:col>
      <xdr:colOff>596900</xdr:colOff>
      <xdr:row>54</xdr:row>
      <xdr:rowOff>82550</xdr:rowOff>
    </xdr:from>
    <xdr:to>
      <xdr:col>5</xdr:col>
      <xdr:colOff>25400</xdr:colOff>
      <xdr:row>55</xdr:row>
      <xdr:rowOff>12700</xdr:rowOff>
    </xdr:to>
    <xdr:sp macro="" textlink="">
      <xdr:nvSpPr>
        <xdr:cNvPr id="522197" name="Oval 82">
          <a:extLst>
            <a:ext uri="{FF2B5EF4-FFF2-40B4-BE49-F238E27FC236}">
              <a16:creationId xmlns:a16="http://schemas.microsoft.com/office/drawing/2014/main" id="{0A82A442-09F4-4E43-9D76-E9E3A5D75740}"/>
            </a:ext>
          </a:extLst>
        </xdr:cNvPr>
        <xdr:cNvSpPr>
          <a:spLocks noChangeArrowheads="1"/>
        </xdr:cNvSpPr>
      </xdr:nvSpPr>
      <xdr:spPr bwMode="auto">
        <a:xfrm>
          <a:off x="5607050" y="9036050"/>
          <a:ext cx="82550" cy="88900"/>
        </a:xfrm>
        <a:prstGeom prst="ellipse">
          <a:avLst/>
        </a:prstGeom>
        <a:solidFill>
          <a:srgbClr val="FF0000"/>
        </a:solidFill>
        <a:ln w="9525">
          <a:solidFill>
            <a:srgbClr val="FF0000"/>
          </a:solidFill>
          <a:round/>
          <a:headEnd/>
          <a:tailEnd/>
        </a:ln>
      </xdr:spPr>
    </xdr:sp>
    <xdr:clientData/>
  </xdr:twoCellAnchor>
  <xdr:twoCellAnchor>
    <xdr:from>
      <xdr:col>4</xdr:col>
      <xdr:colOff>107950</xdr:colOff>
      <xdr:row>51</xdr:row>
      <xdr:rowOff>95250</xdr:rowOff>
    </xdr:from>
    <xdr:to>
      <xdr:col>4</xdr:col>
      <xdr:colOff>184150</xdr:colOff>
      <xdr:row>52</xdr:row>
      <xdr:rowOff>25400</xdr:rowOff>
    </xdr:to>
    <xdr:sp macro="" textlink="">
      <xdr:nvSpPr>
        <xdr:cNvPr id="522198" name="Oval 83">
          <a:extLst>
            <a:ext uri="{FF2B5EF4-FFF2-40B4-BE49-F238E27FC236}">
              <a16:creationId xmlns:a16="http://schemas.microsoft.com/office/drawing/2014/main" id="{3081A6CE-1703-4B97-9407-0521765F91FB}"/>
            </a:ext>
          </a:extLst>
        </xdr:cNvPr>
        <xdr:cNvSpPr>
          <a:spLocks noChangeArrowheads="1"/>
        </xdr:cNvSpPr>
      </xdr:nvSpPr>
      <xdr:spPr bwMode="auto">
        <a:xfrm>
          <a:off x="5118100" y="8572500"/>
          <a:ext cx="76200" cy="88900"/>
        </a:xfrm>
        <a:prstGeom prst="ellipse">
          <a:avLst/>
        </a:prstGeom>
        <a:solidFill>
          <a:srgbClr val="FF0000"/>
        </a:solidFill>
        <a:ln w="9525">
          <a:solidFill>
            <a:srgbClr val="FF0000"/>
          </a:solidFill>
          <a:round/>
          <a:headEnd/>
          <a:tailEnd/>
        </a:ln>
      </xdr:spPr>
    </xdr:sp>
    <xdr:clientData/>
  </xdr:twoCellAnchor>
  <xdr:twoCellAnchor>
    <xdr:from>
      <xdr:col>7</xdr:col>
      <xdr:colOff>304800</xdr:colOff>
      <xdr:row>57</xdr:row>
      <xdr:rowOff>69850</xdr:rowOff>
    </xdr:from>
    <xdr:to>
      <xdr:col>7</xdr:col>
      <xdr:colOff>374650</xdr:colOff>
      <xdr:row>58</xdr:row>
      <xdr:rowOff>0</xdr:rowOff>
    </xdr:to>
    <xdr:sp macro="" textlink="">
      <xdr:nvSpPr>
        <xdr:cNvPr id="522199" name="Oval 84">
          <a:extLst>
            <a:ext uri="{FF2B5EF4-FFF2-40B4-BE49-F238E27FC236}">
              <a16:creationId xmlns:a16="http://schemas.microsoft.com/office/drawing/2014/main" id="{0801B4D9-C92E-42F2-87BB-AF50633CDA61}"/>
            </a:ext>
          </a:extLst>
        </xdr:cNvPr>
        <xdr:cNvSpPr>
          <a:spLocks noChangeArrowheads="1"/>
        </xdr:cNvSpPr>
      </xdr:nvSpPr>
      <xdr:spPr bwMode="auto">
        <a:xfrm>
          <a:off x="7340600" y="9499600"/>
          <a:ext cx="69850" cy="95250"/>
        </a:xfrm>
        <a:prstGeom prst="ellipse">
          <a:avLst/>
        </a:prstGeom>
        <a:solidFill>
          <a:srgbClr val="FF0000"/>
        </a:solidFill>
        <a:ln w="9525">
          <a:solidFill>
            <a:srgbClr val="FF0000"/>
          </a:solidFill>
          <a:round/>
          <a:headEnd/>
          <a:tailEnd/>
        </a:ln>
      </xdr:spPr>
    </xdr:sp>
    <xdr:clientData/>
  </xdr:twoCellAnchor>
  <xdr:twoCellAnchor>
    <xdr:from>
      <xdr:col>10</xdr:col>
      <xdr:colOff>730250</xdr:colOff>
      <xdr:row>53</xdr:row>
      <xdr:rowOff>12700</xdr:rowOff>
    </xdr:from>
    <xdr:to>
      <xdr:col>11</xdr:col>
      <xdr:colOff>69850</xdr:colOff>
      <xdr:row>53</xdr:row>
      <xdr:rowOff>107950</xdr:rowOff>
    </xdr:to>
    <xdr:sp macro="" textlink="">
      <xdr:nvSpPr>
        <xdr:cNvPr id="522200" name="Oval 85">
          <a:extLst>
            <a:ext uri="{FF2B5EF4-FFF2-40B4-BE49-F238E27FC236}">
              <a16:creationId xmlns:a16="http://schemas.microsoft.com/office/drawing/2014/main" id="{40D2275A-C76A-49E0-BB4E-08A22C38DAE6}"/>
            </a:ext>
          </a:extLst>
        </xdr:cNvPr>
        <xdr:cNvSpPr>
          <a:spLocks noChangeArrowheads="1"/>
        </xdr:cNvSpPr>
      </xdr:nvSpPr>
      <xdr:spPr bwMode="auto">
        <a:xfrm>
          <a:off x="9671050" y="8807450"/>
          <a:ext cx="82550" cy="95250"/>
        </a:xfrm>
        <a:prstGeom prst="ellipse">
          <a:avLst/>
        </a:prstGeom>
        <a:solidFill>
          <a:srgbClr val="FF0000"/>
        </a:solidFill>
        <a:ln w="9525">
          <a:solidFill>
            <a:srgbClr val="FF0000"/>
          </a:solidFill>
          <a:round/>
          <a:headEnd/>
          <a:tailEnd/>
        </a:ln>
      </xdr:spPr>
    </xdr:sp>
    <xdr:clientData/>
  </xdr:twoCellAnchor>
  <xdr:twoCellAnchor>
    <xdr:from>
      <xdr:col>9</xdr:col>
      <xdr:colOff>184150</xdr:colOff>
      <xdr:row>56</xdr:row>
      <xdr:rowOff>120650</xdr:rowOff>
    </xdr:from>
    <xdr:to>
      <xdr:col>9</xdr:col>
      <xdr:colOff>266700</xdr:colOff>
      <xdr:row>57</xdr:row>
      <xdr:rowOff>57150</xdr:rowOff>
    </xdr:to>
    <xdr:sp macro="" textlink="">
      <xdr:nvSpPr>
        <xdr:cNvPr id="522201" name="Oval 86">
          <a:extLst>
            <a:ext uri="{FF2B5EF4-FFF2-40B4-BE49-F238E27FC236}">
              <a16:creationId xmlns:a16="http://schemas.microsoft.com/office/drawing/2014/main" id="{EBAD57D7-F521-4A62-A834-764268521E93}"/>
            </a:ext>
          </a:extLst>
        </xdr:cNvPr>
        <xdr:cNvSpPr>
          <a:spLocks noChangeArrowheads="1"/>
        </xdr:cNvSpPr>
      </xdr:nvSpPr>
      <xdr:spPr bwMode="auto">
        <a:xfrm>
          <a:off x="8451850" y="9391650"/>
          <a:ext cx="82550" cy="95250"/>
        </a:xfrm>
        <a:prstGeom prst="ellipse">
          <a:avLst/>
        </a:prstGeom>
        <a:solidFill>
          <a:srgbClr val="FF0000"/>
        </a:solidFill>
        <a:ln w="9525">
          <a:solidFill>
            <a:srgbClr val="FF0000"/>
          </a:solidFill>
          <a:round/>
          <a:headEnd/>
          <a:tailEnd/>
        </a:ln>
      </xdr:spPr>
    </xdr:sp>
    <xdr:clientData/>
  </xdr:twoCellAnchor>
  <xdr:oneCellAnchor>
    <xdr:from>
      <xdr:col>11</xdr:col>
      <xdr:colOff>517525</xdr:colOff>
      <xdr:row>48</xdr:row>
      <xdr:rowOff>79375</xdr:rowOff>
    </xdr:from>
    <xdr:ext cx="461047" cy="146194"/>
    <xdr:sp macro="" textlink="">
      <xdr:nvSpPr>
        <xdr:cNvPr id="1111" name="Text Box 87">
          <a:extLst>
            <a:ext uri="{FF2B5EF4-FFF2-40B4-BE49-F238E27FC236}">
              <a16:creationId xmlns:a16="http://schemas.microsoft.com/office/drawing/2014/main" id="{D49476D7-A6D7-42C7-894E-98A3CF181786}"/>
            </a:ext>
          </a:extLst>
        </xdr:cNvPr>
        <xdr:cNvSpPr txBox="1">
          <a:spLocks noChangeArrowheads="1"/>
        </xdr:cNvSpPr>
      </xdr:nvSpPr>
      <xdr:spPr bwMode="auto">
        <a:xfrm>
          <a:off x="11145308" y="7777692"/>
          <a:ext cx="400582" cy="146194"/>
        </a:xfrm>
        <a:prstGeom prst="rect">
          <a:avLst/>
        </a:prstGeom>
        <a:noFill/>
        <a:ln w="9525">
          <a:noFill/>
          <a:miter lim="800000"/>
          <a:headEnd/>
          <a:tailEnd/>
        </a:ln>
      </xdr:spPr>
      <xdr:txBody>
        <a:bodyPr wrap="none" lIns="18288" tIns="22860" rIns="0" bIns="0" anchor="t" upright="1">
          <a:spAutoFit/>
        </a:bodyPr>
        <a:lstStyle/>
        <a:p>
          <a:pPr algn="l" rtl="0">
            <a:defRPr sz="1000"/>
          </a:pPr>
          <a:r>
            <a:rPr lang="en-US" sz="800" b="0" i="0" strike="noStrike">
              <a:solidFill>
                <a:srgbClr val="000000"/>
              </a:solidFill>
              <a:latin typeface="Arial"/>
              <a:cs typeface="Arial"/>
            </a:rPr>
            <a:t>Case 13</a:t>
          </a:r>
        </a:p>
      </xdr:txBody>
    </xdr:sp>
    <xdr:clientData/>
  </xdr:oneCellAnchor>
  <xdr:oneCellAnchor>
    <xdr:from>
      <xdr:col>11</xdr:col>
      <xdr:colOff>165100</xdr:colOff>
      <xdr:row>53</xdr:row>
      <xdr:rowOff>66675</xdr:rowOff>
    </xdr:from>
    <xdr:ext cx="400622" cy="141001"/>
    <xdr:sp macro="" textlink="">
      <xdr:nvSpPr>
        <xdr:cNvPr id="1112" name="Text Box 88">
          <a:extLst>
            <a:ext uri="{FF2B5EF4-FFF2-40B4-BE49-F238E27FC236}">
              <a16:creationId xmlns:a16="http://schemas.microsoft.com/office/drawing/2014/main" id="{6CFD9017-BD68-4ED2-8B5F-BE54FBE7CEA8}"/>
            </a:ext>
          </a:extLst>
        </xdr:cNvPr>
        <xdr:cNvSpPr txBox="1">
          <a:spLocks noChangeArrowheads="1"/>
        </xdr:cNvSpPr>
      </xdr:nvSpPr>
      <xdr:spPr bwMode="auto">
        <a:xfrm>
          <a:off x="9867900" y="8952442"/>
          <a:ext cx="400622" cy="141001"/>
        </a:xfrm>
        <a:prstGeom prst="rect">
          <a:avLst/>
        </a:prstGeom>
        <a:noFill/>
        <a:ln w="9525">
          <a:noFill/>
          <a:miter lim="800000"/>
          <a:headEnd/>
          <a:tailEnd/>
        </a:ln>
      </xdr:spPr>
      <xdr:txBody>
        <a:bodyPr wrap="none" lIns="18288" tIns="22860" rIns="0" bIns="0" anchor="t" upright="1">
          <a:spAutoFit/>
        </a:bodyPr>
        <a:lstStyle/>
        <a:p>
          <a:pPr algn="l" rtl="0">
            <a:defRPr sz="1000"/>
          </a:pPr>
          <a:r>
            <a:rPr lang="en-US" sz="800" b="0" i="0" strike="noStrike">
              <a:solidFill>
                <a:srgbClr val="000000"/>
              </a:solidFill>
              <a:latin typeface="Arial"/>
              <a:cs typeface="Arial"/>
            </a:rPr>
            <a:t>Case 12</a:t>
          </a:r>
        </a:p>
      </xdr:txBody>
    </xdr:sp>
    <xdr:clientData/>
  </xdr:oneCellAnchor>
  <xdr:oneCellAnchor>
    <xdr:from>
      <xdr:col>9</xdr:col>
      <xdr:colOff>361950</xdr:colOff>
      <xdr:row>57</xdr:row>
      <xdr:rowOff>44450</xdr:rowOff>
    </xdr:from>
    <xdr:ext cx="400622" cy="141001"/>
    <xdr:sp macro="" textlink="">
      <xdr:nvSpPr>
        <xdr:cNvPr id="1113" name="Text Box 89">
          <a:extLst>
            <a:ext uri="{FF2B5EF4-FFF2-40B4-BE49-F238E27FC236}">
              <a16:creationId xmlns:a16="http://schemas.microsoft.com/office/drawing/2014/main" id="{1859A8FE-92AF-4CE2-841A-A5CC1C39D7D9}"/>
            </a:ext>
          </a:extLst>
        </xdr:cNvPr>
        <xdr:cNvSpPr txBox="1">
          <a:spLocks noChangeArrowheads="1"/>
        </xdr:cNvSpPr>
      </xdr:nvSpPr>
      <xdr:spPr bwMode="auto">
        <a:xfrm>
          <a:off x="8646583" y="9573683"/>
          <a:ext cx="400622" cy="141001"/>
        </a:xfrm>
        <a:prstGeom prst="rect">
          <a:avLst/>
        </a:prstGeom>
        <a:noFill/>
        <a:ln w="9525">
          <a:noFill/>
          <a:miter lim="800000"/>
          <a:headEnd/>
          <a:tailEnd/>
        </a:ln>
      </xdr:spPr>
      <xdr:txBody>
        <a:bodyPr wrap="none" lIns="18288" tIns="22860" rIns="0" bIns="0" anchor="t" upright="1">
          <a:spAutoFit/>
        </a:bodyPr>
        <a:lstStyle/>
        <a:p>
          <a:pPr algn="l" rtl="0">
            <a:defRPr sz="1000"/>
          </a:pPr>
          <a:r>
            <a:rPr lang="en-US" sz="800" b="0" i="0" strike="noStrike">
              <a:solidFill>
                <a:srgbClr val="000000"/>
              </a:solidFill>
              <a:latin typeface="Arial"/>
              <a:cs typeface="Arial"/>
            </a:rPr>
            <a:t>Case 11</a:t>
          </a:r>
        </a:p>
      </xdr:txBody>
    </xdr:sp>
    <xdr:clientData/>
  </xdr:oneCellAnchor>
  <xdr:oneCellAnchor>
    <xdr:from>
      <xdr:col>7</xdr:col>
      <xdr:colOff>377825</xdr:colOff>
      <xdr:row>56</xdr:row>
      <xdr:rowOff>82550</xdr:rowOff>
    </xdr:from>
    <xdr:ext cx="400622" cy="141001"/>
    <xdr:sp macro="" textlink="">
      <xdr:nvSpPr>
        <xdr:cNvPr id="1114" name="Text Box 90">
          <a:extLst>
            <a:ext uri="{FF2B5EF4-FFF2-40B4-BE49-F238E27FC236}">
              <a16:creationId xmlns:a16="http://schemas.microsoft.com/office/drawing/2014/main" id="{959C455C-5EDB-48BB-98F2-36AC4F499099}"/>
            </a:ext>
          </a:extLst>
        </xdr:cNvPr>
        <xdr:cNvSpPr txBox="1">
          <a:spLocks noChangeArrowheads="1"/>
        </xdr:cNvSpPr>
      </xdr:nvSpPr>
      <xdr:spPr bwMode="auto">
        <a:xfrm>
          <a:off x="7426325" y="9450917"/>
          <a:ext cx="400622" cy="141001"/>
        </a:xfrm>
        <a:prstGeom prst="rect">
          <a:avLst/>
        </a:prstGeom>
        <a:noFill/>
        <a:ln w="9525">
          <a:noFill/>
          <a:miter lim="800000"/>
          <a:headEnd/>
          <a:tailEnd/>
        </a:ln>
      </xdr:spPr>
      <xdr:txBody>
        <a:bodyPr wrap="none" lIns="18288" tIns="22860" rIns="0" bIns="0" anchor="t" upright="1">
          <a:spAutoFit/>
        </a:bodyPr>
        <a:lstStyle/>
        <a:p>
          <a:pPr algn="l" rtl="0">
            <a:defRPr sz="1000"/>
          </a:pPr>
          <a:r>
            <a:rPr lang="en-US" sz="800" b="0" i="0" strike="noStrike">
              <a:solidFill>
                <a:srgbClr val="000000"/>
              </a:solidFill>
              <a:latin typeface="Arial"/>
              <a:cs typeface="Arial"/>
            </a:rPr>
            <a:t>Case 10</a:t>
          </a:r>
        </a:p>
      </xdr:txBody>
    </xdr:sp>
    <xdr:clientData/>
  </xdr:oneCellAnchor>
  <xdr:oneCellAnchor>
    <xdr:from>
      <xdr:col>5</xdr:col>
      <xdr:colOff>104775</xdr:colOff>
      <xdr:row>54</xdr:row>
      <xdr:rowOff>38100</xdr:rowOff>
    </xdr:from>
    <xdr:ext cx="343556" cy="141001"/>
    <xdr:sp macro="" textlink="">
      <xdr:nvSpPr>
        <xdr:cNvPr id="1115" name="Text Box 91">
          <a:extLst>
            <a:ext uri="{FF2B5EF4-FFF2-40B4-BE49-F238E27FC236}">
              <a16:creationId xmlns:a16="http://schemas.microsoft.com/office/drawing/2014/main" id="{3A70F018-DE43-466D-924E-21780B0E0A46}"/>
            </a:ext>
          </a:extLst>
        </xdr:cNvPr>
        <xdr:cNvSpPr txBox="1">
          <a:spLocks noChangeArrowheads="1"/>
        </xdr:cNvSpPr>
      </xdr:nvSpPr>
      <xdr:spPr bwMode="auto">
        <a:xfrm>
          <a:off x="5777442" y="9084733"/>
          <a:ext cx="343556" cy="141001"/>
        </a:xfrm>
        <a:prstGeom prst="rect">
          <a:avLst/>
        </a:prstGeom>
        <a:noFill/>
        <a:ln w="9525">
          <a:noFill/>
          <a:miter lim="800000"/>
          <a:headEnd/>
          <a:tailEnd/>
        </a:ln>
      </xdr:spPr>
      <xdr:txBody>
        <a:bodyPr wrap="none" lIns="18288" tIns="22860" rIns="0" bIns="0" anchor="t" upright="1">
          <a:spAutoFit/>
        </a:bodyPr>
        <a:lstStyle/>
        <a:p>
          <a:pPr algn="l" rtl="0">
            <a:defRPr sz="1000"/>
          </a:pPr>
          <a:r>
            <a:rPr lang="en-US" sz="800" b="0" i="0" strike="noStrike">
              <a:solidFill>
                <a:srgbClr val="000000"/>
              </a:solidFill>
              <a:latin typeface="Arial"/>
              <a:cs typeface="Arial"/>
            </a:rPr>
            <a:t>Case 7</a:t>
          </a:r>
        </a:p>
      </xdr:txBody>
    </xdr:sp>
    <xdr:clientData/>
  </xdr:oneCellAnchor>
  <xdr:oneCellAnchor>
    <xdr:from>
      <xdr:col>3</xdr:col>
      <xdr:colOff>403225</xdr:colOff>
      <xdr:row>51</xdr:row>
      <xdr:rowOff>82550</xdr:rowOff>
    </xdr:from>
    <xdr:ext cx="489022" cy="176972"/>
    <xdr:sp macro="" textlink="">
      <xdr:nvSpPr>
        <xdr:cNvPr id="1116" name="Text Box 92">
          <a:extLst>
            <a:ext uri="{FF2B5EF4-FFF2-40B4-BE49-F238E27FC236}">
              <a16:creationId xmlns:a16="http://schemas.microsoft.com/office/drawing/2014/main" id="{F4AAF657-AC94-4EC5-8F7C-3ADB971A0239}"/>
            </a:ext>
          </a:extLst>
        </xdr:cNvPr>
        <xdr:cNvSpPr txBox="1">
          <a:spLocks noChangeArrowheads="1"/>
        </xdr:cNvSpPr>
      </xdr:nvSpPr>
      <xdr:spPr bwMode="auto">
        <a:xfrm>
          <a:off x="5032375" y="8238067"/>
          <a:ext cx="428835"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Arial"/>
              <a:cs typeface="Arial"/>
            </a:rPr>
            <a:t>Case 4</a:t>
          </a:r>
        </a:p>
      </xdr:txBody>
    </xdr:sp>
    <xdr:clientData/>
  </xdr:oneCellAnchor>
  <xdr:oneCellAnchor>
    <xdr:from>
      <xdr:col>3</xdr:col>
      <xdr:colOff>206375</xdr:colOff>
      <xdr:row>48</xdr:row>
      <xdr:rowOff>79375</xdr:rowOff>
    </xdr:from>
    <xdr:ext cx="343556" cy="141001"/>
    <xdr:sp macro="" textlink="">
      <xdr:nvSpPr>
        <xdr:cNvPr id="1117" name="Text Box 93">
          <a:extLst>
            <a:ext uri="{FF2B5EF4-FFF2-40B4-BE49-F238E27FC236}">
              <a16:creationId xmlns:a16="http://schemas.microsoft.com/office/drawing/2014/main" id="{8B8059C5-9163-4891-B3E4-F06BF498D438}"/>
            </a:ext>
          </a:extLst>
        </xdr:cNvPr>
        <xdr:cNvSpPr txBox="1">
          <a:spLocks noChangeArrowheads="1"/>
        </xdr:cNvSpPr>
      </xdr:nvSpPr>
      <xdr:spPr bwMode="auto">
        <a:xfrm>
          <a:off x="4427008" y="8160808"/>
          <a:ext cx="343556" cy="141001"/>
        </a:xfrm>
        <a:prstGeom prst="rect">
          <a:avLst/>
        </a:prstGeom>
        <a:noFill/>
        <a:ln w="9525">
          <a:noFill/>
          <a:miter lim="800000"/>
          <a:headEnd/>
          <a:tailEnd/>
        </a:ln>
      </xdr:spPr>
      <xdr:txBody>
        <a:bodyPr wrap="none" lIns="18288" tIns="22860" rIns="0" bIns="0" anchor="t" upright="1">
          <a:spAutoFit/>
        </a:bodyPr>
        <a:lstStyle/>
        <a:p>
          <a:pPr algn="l" rtl="0">
            <a:defRPr sz="1000"/>
          </a:pPr>
          <a:r>
            <a:rPr lang="en-US" sz="800" b="0" i="0" strike="noStrike">
              <a:solidFill>
                <a:srgbClr val="000000"/>
              </a:solidFill>
              <a:latin typeface="Arial"/>
              <a:cs typeface="Arial"/>
            </a:rPr>
            <a:t>Case 1</a:t>
          </a:r>
        </a:p>
      </xdr:txBody>
    </xdr:sp>
    <xdr:clientData/>
  </xdr:oneCellAnchor>
  <xdr:twoCellAnchor>
    <xdr:from>
      <xdr:col>6</xdr:col>
      <xdr:colOff>107950</xdr:colOff>
      <xdr:row>77</xdr:row>
      <xdr:rowOff>146050</xdr:rowOff>
    </xdr:from>
    <xdr:to>
      <xdr:col>6</xdr:col>
      <xdr:colOff>107950</xdr:colOff>
      <xdr:row>79</xdr:row>
      <xdr:rowOff>25400</xdr:rowOff>
    </xdr:to>
    <xdr:sp macro="" textlink="">
      <xdr:nvSpPr>
        <xdr:cNvPr id="522209" name="Line 94">
          <a:extLst>
            <a:ext uri="{FF2B5EF4-FFF2-40B4-BE49-F238E27FC236}">
              <a16:creationId xmlns:a16="http://schemas.microsoft.com/office/drawing/2014/main" id="{7CBE8D69-3460-42EC-A928-C119692C68AE}"/>
            </a:ext>
          </a:extLst>
        </xdr:cNvPr>
        <xdr:cNvSpPr>
          <a:spLocks noChangeShapeType="1"/>
        </xdr:cNvSpPr>
      </xdr:nvSpPr>
      <xdr:spPr bwMode="auto">
        <a:xfrm flipV="1">
          <a:off x="6388100" y="12858750"/>
          <a:ext cx="0" cy="19685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0</xdr:col>
      <xdr:colOff>1489075</xdr:colOff>
      <xdr:row>63</xdr:row>
      <xdr:rowOff>152400</xdr:rowOff>
    </xdr:from>
    <xdr:ext cx="446148" cy="170560"/>
    <xdr:sp macro="" textlink="">
      <xdr:nvSpPr>
        <xdr:cNvPr id="1119" name="Text Box 95">
          <a:extLst>
            <a:ext uri="{FF2B5EF4-FFF2-40B4-BE49-F238E27FC236}">
              <a16:creationId xmlns:a16="http://schemas.microsoft.com/office/drawing/2014/main" id="{B8DCB9AD-A2D9-425A-ABAC-7A4BE15578EE}"/>
            </a:ext>
          </a:extLst>
        </xdr:cNvPr>
        <xdr:cNvSpPr txBox="1">
          <a:spLocks noChangeArrowheads="1"/>
        </xdr:cNvSpPr>
      </xdr:nvSpPr>
      <xdr:spPr bwMode="auto">
        <a:xfrm>
          <a:off x="1489075" y="10680700"/>
          <a:ext cx="446148" cy="170560"/>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FF0000"/>
              </a:solidFill>
              <a:latin typeface="Arial"/>
              <a:cs typeface="Arial"/>
            </a:rPr>
            <a:t>perigee</a:t>
          </a:r>
        </a:p>
      </xdr:txBody>
    </xdr:sp>
    <xdr:clientData/>
  </xdr:oneCellAnchor>
  <xdr:oneCellAnchor>
    <xdr:from>
      <xdr:col>0</xdr:col>
      <xdr:colOff>1470025</xdr:colOff>
      <xdr:row>76</xdr:row>
      <xdr:rowOff>0</xdr:rowOff>
    </xdr:from>
    <xdr:ext cx="503767" cy="174734"/>
    <xdr:sp macro="" textlink="">
      <xdr:nvSpPr>
        <xdr:cNvPr id="1120" name="Text Box 96">
          <a:extLst>
            <a:ext uri="{FF2B5EF4-FFF2-40B4-BE49-F238E27FC236}">
              <a16:creationId xmlns:a16="http://schemas.microsoft.com/office/drawing/2014/main" id="{2BE0C72C-3C46-497E-90AC-33200318FC56}"/>
            </a:ext>
          </a:extLst>
        </xdr:cNvPr>
        <xdr:cNvSpPr txBox="1">
          <a:spLocks noChangeArrowheads="1"/>
        </xdr:cNvSpPr>
      </xdr:nvSpPr>
      <xdr:spPr bwMode="auto">
        <a:xfrm>
          <a:off x="1400175" y="12763500"/>
          <a:ext cx="476250" cy="200025"/>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FF0000"/>
              </a:solidFill>
              <a:latin typeface="Arial"/>
              <a:cs typeface="Arial"/>
            </a:rPr>
            <a:t>apogee</a:t>
          </a:r>
        </a:p>
      </xdr:txBody>
    </xdr:sp>
    <xdr:clientData/>
  </xdr:oneCellAnchor>
  <xdr:twoCellAnchor>
    <xdr:from>
      <xdr:col>0</xdr:col>
      <xdr:colOff>1746250</xdr:colOff>
      <xdr:row>65</xdr:row>
      <xdr:rowOff>38100</xdr:rowOff>
    </xdr:from>
    <xdr:to>
      <xdr:col>0</xdr:col>
      <xdr:colOff>1746250</xdr:colOff>
      <xdr:row>75</xdr:row>
      <xdr:rowOff>120650</xdr:rowOff>
    </xdr:to>
    <xdr:sp macro="" textlink="">
      <xdr:nvSpPr>
        <xdr:cNvPr id="522212" name="Line 97">
          <a:extLst>
            <a:ext uri="{FF2B5EF4-FFF2-40B4-BE49-F238E27FC236}">
              <a16:creationId xmlns:a16="http://schemas.microsoft.com/office/drawing/2014/main" id="{21CE9FFD-BAE7-45EE-9C5A-3E17EE49F874}"/>
            </a:ext>
          </a:extLst>
        </xdr:cNvPr>
        <xdr:cNvSpPr>
          <a:spLocks noChangeShapeType="1"/>
        </xdr:cNvSpPr>
      </xdr:nvSpPr>
      <xdr:spPr bwMode="auto">
        <a:xfrm flipH="1">
          <a:off x="1746250" y="10788650"/>
          <a:ext cx="0" cy="17272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0</xdr:col>
      <xdr:colOff>1746250</xdr:colOff>
      <xdr:row>65</xdr:row>
      <xdr:rowOff>25400</xdr:rowOff>
    </xdr:from>
    <xdr:to>
      <xdr:col>0</xdr:col>
      <xdr:colOff>1746250</xdr:colOff>
      <xdr:row>70</xdr:row>
      <xdr:rowOff>12700</xdr:rowOff>
    </xdr:to>
    <xdr:sp macro="" textlink="">
      <xdr:nvSpPr>
        <xdr:cNvPr id="522213" name="Line 98">
          <a:extLst>
            <a:ext uri="{FF2B5EF4-FFF2-40B4-BE49-F238E27FC236}">
              <a16:creationId xmlns:a16="http://schemas.microsoft.com/office/drawing/2014/main" id="{E8766582-F4C4-4275-8A6F-E06DCD947BBF}"/>
            </a:ext>
          </a:extLst>
        </xdr:cNvPr>
        <xdr:cNvSpPr>
          <a:spLocks noChangeShapeType="1"/>
        </xdr:cNvSpPr>
      </xdr:nvSpPr>
      <xdr:spPr bwMode="auto">
        <a:xfrm>
          <a:off x="1746250" y="10775950"/>
          <a:ext cx="0" cy="8128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xdr:col>
      <xdr:colOff>1028700</xdr:colOff>
      <xdr:row>95</xdr:row>
      <xdr:rowOff>76200</xdr:rowOff>
    </xdr:from>
    <xdr:to>
      <xdr:col>5</xdr:col>
      <xdr:colOff>514350</xdr:colOff>
      <xdr:row>95</xdr:row>
      <xdr:rowOff>76200</xdr:rowOff>
    </xdr:to>
    <xdr:sp macro="" textlink="">
      <xdr:nvSpPr>
        <xdr:cNvPr id="522214" name="Line 101">
          <a:extLst>
            <a:ext uri="{FF2B5EF4-FFF2-40B4-BE49-F238E27FC236}">
              <a16:creationId xmlns:a16="http://schemas.microsoft.com/office/drawing/2014/main" id="{F34BD26B-1FB4-4BE2-8FA0-8B0350AE7E81}"/>
            </a:ext>
          </a:extLst>
        </xdr:cNvPr>
        <xdr:cNvSpPr>
          <a:spLocks noChangeShapeType="1"/>
        </xdr:cNvSpPr>
      </xdr:nvSpPr>
      <xdr:spPr bwMode="auto">
        <a:xfrm>
          <a:off x="3009900" y="15773400"/>
          <a:ext cx="31686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196850</xdr:colOff>
      <xdr:row>95</xdr:row>
      <xdr:rowOff>95250</xdr:rowOff>
    </xdr:from>
    <xdr:to>
      <xdr:col>11</xdr:col>
      <xdr:colOff>590550</xdr:colOff>
      <xdr:row>95</xdr:row>
      <xdr:rowOff>95250</xdr:rowOff>
    </xdr:to>
    <xdr:sp macro="" textlink="">
      <xdr:nvSpPr>
        <xdr:cNvPr id="522215" name="Line 102">
          <a:extLst>
            <a:ext uri="{FF2B5EF4-FFF2-40B4-BE49-F238E27FC236}">
              <a16:creationId xmlns:a16="http://schemas.microsoft.com/office/drawing/2014/main" id="{4AA19090-0A08-46EB-9E7C-F211C512F887}"/>
            </a:ext>
          </a:extLst>
        </xdr:cNvPr>
        <xdr:cNvSpPr>
          <a:spLocks noChangeShapeType="1"/>
        </xdr:cNvSpPr>
      </xdr:nvSpPr>
      <xdr:spPr bwMode="auto">
        <a:xfrm>
          <a:off x="7232650" y="15792450"/>
          <a:ext cx="30416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266700</xdr:colOff>
      <xdr:row>103</xdr:row>
      <xdr:rowOff>95250</xdr:rowOff>
    </xdr:from>
    <xdr:to>
      <xdr:col>2</xdr:col>
      <xdr:colOff>825500</xdr:colOff>
      <xdr:row>103</xdr:row>
      <xdr:rowOff>95250</xdr:rowOff>
    </xdr:to>
    <xdr:sp macro="" textlink="">
      <xdr:nvSpPr>
        <xdr:cNvPr id="522216" name="Line 108">
          <a:extLst>
            <a:ext uri="{FF2B5EF4-FFF2-40B4-BE49-F238E27FC236}">
              <a16:creationId xmlns:a16="http://schemas.microsoft.com/office/drawing/2014/main" id="{962D5444-AFCD-4E7C-B4ED-76B95D643E8D}"/>
            </a:ext>
          </a:extLst>
        </xdr:cNvPr>
        <xdr:cNvSpPr>
          <a:spLocks noChangeShapeType="1"/>
        </xdr:cNvSpPr>
      </xdr:nvSpPr>
      <xdr:spPr bwMode="auto">
        <a:xfrm flipH="1">
          <a:off x="3600450" y="17125950"/>
          <a:ext cx="5588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xdr:col>
      <xdr:colOff>654050</xdr:colOff>
      <xdr:row>135</xdr:row>
      <xdr:rowOff>38100</xdr:rowOff>
    </xdr:from>
    <xdr:to>
      <xdr:col>4</xdr:col>
      <xdr:colOff>254000</xdr:colOff>
      <xdr:row>150</xdr:row>
      <xdr:rowOff>38100</xdr:rowOff>
    </xdr:to>
    <xdr:sp macro="" textlink="">
      <xdr:nvSpPr>
        <xdr:cNvPr id="522217" name="Oval 114">
          <a:extLst>
            <a:ext uri="{FF2B5EF4-FFF2-40B4-BE49-F238E27FC236}">
              <a16:creationId xmlns:a16="http://schemas.microsoft.com/office/drawing/2014/main" id="{68B5FECD-B471-4682-9D69-FF2EFFF70E06}"/>
            </a:ext>
          </a:extLst>
        </xdr:cNvPr>
        <xdr:cNvSpPr>
          <a:spLocks noChangeArrowheads="1"/>
        </xdr:cNvSpPr>
      </xdr:nvSpPr>
      <xdr:spPr bwMode="auto">
        <a:xfrm>
          <a:off x="2635250" y="22269450"/>
          <a:ext cx="2628900" cy="2381250"/>
        </a:xfrm>
        <a:prstGeom prst="ellipse">
          <a:avLst/>
        </a:prstGeom>
        <a:solidFill>
          <a:srgbClr val="C0C0C0"/>
        </a:solidFill>
        <a:ln w="9525">
          <a:solidFill>
            <a:srgbClr val="000000"/>
          </a:solidFill>
          <a:round/>
          <a:headEnd/>
          <a:tailEnd/>
        </a:ln>
      </xdr:spPr>
    </xdr:sp>
    <xdr:clientData/>
  </xdr:twoCellAnchor>
  <xdr:twoCellAnchor>
    <xdr:from>
      <xdr:col>2</xdr:col>
      <xdr:colOff>577850</xdr:colOff>
      <xdr:row>142</xdr:row>
      <xdr:rowOff>82550</xdr:rowOff>
    </xdr:from>
    <xdr:to>
      <xdr:col>2</xdr:col>
      <xdr:colOff>647700</xdr:colOff>
      <xdr:row>143</xdr:row>
      <xdr:rowOff>12700</xdr:rowOff>
    </xdr:to>
    <xdr:sp macro="" textlink="">
      <xdr:nvSpPr>
        <xdr:cNvPr id="522218" name="Oval 118">
          <a:extLst>
            <a:ext uri="{FF2B5EF4-FFF2-40B4-BE49-F238E27FC236}">
              <a16:creationId xmlns:a16="http://schemas.microsoft.com/office/drawing/2014/main" id="{ECDBC4ED-3291-4EBE-B8BB-E4F6AEC7AA89}"/>
            </a:ext>
          </a:extLst>
        </xdr:cNvPr>
        <xdr:cNvSpPr>
          <a:spLocks noChangeArrowheads="1"/>
        </xdr:cNvSpPr>
      </xdr:nvSpPr>
      <xdr:spPr bwMode="auto">
        <a:xfrm>
          <a:off x="3911600" y="23425150"/>
          <a:ext cx="69850" cy="88900"/>
        </a:xfrm>
        <a:prstGeom prst="ellipse">
          <a:avLst/>
        </a:prstGeom>
        <a:solidFill>
          <a:srgbClr val="FFCC00"/>
        </a:solidFill>
        <a:ln w="9525">
          <a:solidFill>
            <a:srgbClr val="000000"/>
          </a:solidFill>
          <a:round/>
          <a:headEnd/>
          <a:tailEnd/>
        </a:ln>
      </xdr:spPr>
    </xdr:sp>
    <xdr:clientData/>
  </xdr:twoCellAnchor>
  <xdr:twoCellAnchor>
    <xdr:from>
      <xdr:col>3</xdr:col>
      <xdr:colOff>685800</xdr:colOff>
      <xdr:row>137</xdr:row>
      <xdr:rowOff>107950</xdr:rowOff>
    </xdr:from>
    <xdr:to>
      <xdr:col>3</xdr:col>
      <xdr:colOff>768350</xdr:colOff>
      <xdr:row>138</xdr:row>
      <xdr:rowOff>25400</xdr:rowOff>
    </xdr:to>
    <xdr:sp macro="" textlink="">
      <xdr:nvSpPr>
        <xdr:cNvPr id="522219" name="Oval 119">
          <a:extLst>
            <a:ext uri="{FF2B5EF4-FFF2-40B4-BE49-F238E27FC236}">
              <a16:creationId xmlns:a16="http://schemas.microsoft.com/office/drawing/2014/main" id="{6F4134B4-9270-416A-B8C8-CBDC66EAE98E}"/>
            </a:ext>
          </a:extLst>
        </xdr:cNvPr>
        <xdr:cNvSpPr>
          <a:spLocks noChangeArrowheads="1"/>
        </xdr:cNvSpPr>
      </xdr:nvSpPr>
      <xdr:spPr bwMode="auto">
        <a:xfrm>
          <a:off x="4902200" y="22656800"/>
          <a:ext cx="82550" cy="76200"/>
        </a:xfrm>
        <a:prstGeom prst="ellipse">
          <a:avLst/>
        </a:prstGeom>
        <a:solidFill>
          <a:srgbClr val="0000FF"/>
        </a:solidFill>
        <a:ln w="9525">
          <a:solidFill>
            <a:srgbClr val="000000"/>
          </a:solidFill>
          <a:round/>
          <a:headEnd/>
          <a:tailEnd/>
        </a:ln>
      </xdr:spPr>
    </xdr:sp>
    <xdr:clientData/>
  </xdr:twoCellAnchor>
  <xdr:twoCellAnchor>
    <xdr:from>
      <xdr:col>1</xdr:col>
      <xdr:colOff>641350</xdr:colOff>
      <xdr:row>132</xdr:row>
      <xdr:rowOff>95250</xdr:rowOff>
    </xdr:from>
    <xdr:to>
      <xdr:col>7</xdr:col>
      <xdr:colOff>603250</xdr:colOff>
      <xdr:row>153</xdr:row>
      <xdr:rowOff>12700</xdr:rowOff>
    </xdr:to>
    <xdr:sp macro="" textlink="">
      <xdr:nvSpPr>
        <xdr:cNvPr id="522220" name="Oval 120">
          <a:extLst>
            <a:ext uri="{FF2B5EF4-FFF2-40B4-BE49-F238E27FC236}">
              <a16:creationId xmlns:a16="http://schemas.microsoft.com/office/drawing/2014/main" id="{839E3FC4-E7BC-49E9-A56B-F525E3459638}"/>
            </a:ext>
          </a:extLst>
        </xdr:cNvPr>
        <xdr:cNvSpPr>
          <a:spLocks noChangeArrowheads="1"/>
        </xdr:cNvSpPr>
      </xdr:nvSpPr>
      <xdr:spPr bwMode="auto">
        <a:xfrm>
          <a:off x="2622550" y="21850350"/>
          <a:ext cx="5016500" cy="3251200"/>
        </a:xfrm>
        <a:prstGeom prst="ellipse">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6</xdr:col>
      <xdr:colOff>431800</xdr:colOff>
      <xdr:row>150</xdr:row>
      <xdr:rowOff>82550</xdr:rowOff>
    </xdr:from>
    <xdr:to>
      <xdr:col>6</xdr:col>
      <xdr:colOff>514350</xdr:colOff>
      <xdr:row>150</xdr:row>
      <xdr:rowOff>165100</xdr:rowOff>
    </xdr:to>
    <xdr:sp macro="" textlink="">
      <xdr:nvSpPr>
        <xdr:cNvPr id="522221" name="Oval 125">
          <a:extLst>
            <a:ext uri="{FF2B5EF4-FFF2-40B4-BE49-F238E27FC236}">
              <a16:creationId xmlns:a16="http://schemas.microsoft.com/office/drawing/2014/main" id="{FB12528F-1ACE-499D-9F61-0D9504407A01}"/>
            </a:ext>
          </a:extLst>
        </xdr:cNvPr>
        <xdr:cNvSpPr>
          <a:spLocks noChangeArrowheads="1"/>
        </xdr:cNvSpPr>
      </xdr:nvSpPr>
      <xdr:spPr bwMode="auto">
        <a:xfrm>
          <a:off x="6711950" y="24695150"/>
          <a:ext cx="82550" cy="76200"/>
        </a:xfrm>
        <a:prstGeom prst="ellipse">
          <a:avLst/>
        </a:prstGeom>
        <a:solidFill>
          <a:srgbClr val="FFFFFF"/>
        </a:solidFill>
        <a:ln w="9525">
          <a:solidFill>
            <a:srgbClr val="000000"/>
          </a:solidFill>
          <a:round/>
          <a:headEnd/>
          <a:tailEnd/>
        </a:ln>
      </xdr:spPr>
    </xdr:sp>
    <xdr:clientData/>
  </xdr:twoCellAnchor>
  <xdr:twoCellAnchor>
    <xdr:from>
      <xdr:col>2</xdr:col>
      <xdr:colOff>615950</xdr:colOff>
      <xdr:row>137</xdr:row>
      <xdr:rowOff>133350</xdr:rowOff>
    </xdr:from>
    <xdr:to>
      <xdr:col>3</xdr:col>
      <xdr:colOff>736600</xdr:colOff>
      <xdr:row>142</xdr:row>
      <xdr:rowOff>120650</xdr:rowOff>
    </xdr:to>
    <xdr:sp macro="" textlink="">
      <xdr:nvSpPr>
        <xdr:cNvPr id="522222" name="Line 126">
          <a:extLst>
            <a:ext uri="{FF2B5EF4-FFF2-40B4-BE49-F238E27FC236}">
              <a16:creationId xmlns:a16="http://schemas.microsoft.com/office/drawing/2014/main" id="{06331657-1BED-4CA8-92DA-3155E41A825A}"/>
            </a:ext>
          </a:extLst>
        </xdr:cNvPr>
        <xdr:cNvSpPr>
          <a:spLocks noChangeShapeType="1"/>
        </xdr:cNvSpPr>
      </xdr:nvSpPr>
      <xdr:spPr bwMode="auto">
        <a:xfrm flipV="1">
          <a:off x="3949700" y="22682200"/>
          <a:ext cx="1003300" cy="7810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736600</xdr:colOff>
      <xdr:row>137</xdr:row>
      <xdr:rowOff>146050</xdr:rowOff>
    </xdr:from>
    <xdr:to>
      <xdr:col>6</xdr:col>
      <xdr:colOff>463550</xdr:colOff>
      <xdr:row>150</xdr:row>
      <xdr:rowOff>107950</xdr:rowOff>
    </xdr:to>
    <xdr:sp macro="" textlink="">
      <xdr:nvSpPr>
        <xdr:cNvPr id="522223" name="Line 127">
          <a:extLst>
            <a:ext uri="{FF2B5EF4-FFF2-40B4-BE49-F238E27FC236}">
              <a16:creationId xmlns:a16="http://schemas.microsoft.com/office/drawing/2014/main" id="{77423B0D-BA6F-4BB6-8136-821CDD56B6F5}"/>
            </a:ext>
          </a:extLst>
        </xdr:cNvPr>
        <xdr:cNvSpPr>
          <a:spLocks noChangeShapeType="1"/>
        </xdr:cNvSpPr>
      </xdr:nvSpPr>
      <xdr:spPr bwMode="auto">
        <a:xfrm>
          <a:off x="4953000" y="22694900"/>
          <a:ext cx="1790700" cy="202565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292100</xdr:colOff>
      <xdr:row>151</xdr:row>
      <xdr:rowOff>12700</xdr:rowOff>
    </xdr:from>
    <xdr:to>
      <xdr:col>7</xdr:col>
      <xdr:colOff>374650</xdr:colOff>
      <xdr:row>151</xdr:row>
      <xdr:rowOff>95250</xdr:rowOff>
    </xdr:to>
    <xdr:sp macro="" textlink="">
      <xdr:nvSpPr>
        <xdr:cNvPr id="522224" name="Oval 128">
          <a:extLst>
            <a:ext uri="{FF2B5EF4-FFF2-40B4-BE49-F238E27FC236}">
              <a16:creationId xmlns:a16="http://schemas.microsoft.com/office/drawing/2014/main" id="{CF2703FA-EFBA-485D-A9AB-3B392A6DB336}"/>
            </a:ext>
          </a:extLst>
        </xdr:cNvPr>
        <xdr:cNvSpPr>
          <a:spLocks noChangeArrowheads="1"/>
        </xdr:cNvSpPr>
      </xdr:nvSpPr>
      <xdr:spPr bwMode="auto">
        <a:xfrm>
          <a:off x="7327900" y="24784050"/>
          <a:ext cx="82550" cy="82550"/>
        </a:xfrm>
        <a:prstGeom prst="ellipse">
          <a:avLst/>
        </a:prstGeom>
        <a:solidFill>
          <a:srgbClr val="FF6600"/>
        </a:solidFill>
        <a:ln w="9525">
          <a:solidFill>
            <a:srgbClr val="000000"/>
          </a:solidFill>
          <a:round/>
          <a:headEnd/>
          <a:tailEnd/>
        </a:ln>
      </xdr:spPr>
    </xdr:sp>
    <xdr:clientData/>
  </xdr:twoCellAnchor>
  <xdr:twoCellAnchor>
    <xdr:from>
      <xdr:col>7</xdr:col>
      <xdr:colOff>139700</xdr:colOff>
      <xdr:row>131</xdr:row>
      <xdr:rowOff>146050</xdr:rowOff>
    </xdr:from>
    <xdr:to>
      <xdr:col>7</xdr:col>
      <xdr:colOff>584200</xdr:colOff>
      <xdr:row>142</xdr:row>
      <xdr:rowOff>95250</xdr:rowOff>
    </xdr:to>
    <xdr:sp macro="" textlink="">
      <xdr:nvSpPr>
        <xdr:cNvPr id="522225" name="Freeform 131">
          <a:extLst>
            <a:ext uri="{FF2B5EF4-FFF2-40B4-BE49-F238E27FC236}">
              <a16:creationId xmlns:a16="http://schemas.microsoft.com/office/drawing/2014/main" id="{6F530858-1436-4CB4-89EF-B815B0886A59}"/>
            </a:ext>
          </a:extLst>
        </xdr:cNvPr>
        <xdr:cNvSpPr>
          <a:spLocks/>
        </xdr:cNvSpPr>
      </xdr:nvSpPr>
      <xdr:spPr bwMode="auto">
        <a:xfrm rot="-151013">
          <a:off x="7175500" y="21742400"/>
          <a:ext cx="444500" cy="1695450"/>
        </a:xfrm>
        <a:custGeom>
          <a:avLst/>
          <a:gdLst>
            <a:gd name="T0" fmla="*/ 0 w 46"/>
            <a:gd name="T1" fmla="*/ 0 h 182"/>
            <a:gd name="T2" fmla="*/ 2147483647 w 46"/>
            <a:gd name="T3" fmla="*/ 2147483647 h 182"/>
            <a:gd name="T4" fmla="*/ 2147483647 w 46"/>
            <a:gd name="T5" fmla="*/ 2147483647 h 182"/>
            <a:gd name="T6" fmla="*/ 2147483647 w 46"/>
            <a:gd name="T7" fmla="*/ 2147483647 h 182"/>
            <a:gd name="T8" fmla="*/ 2147483647 w 46"/>
            <a:gd name="T9" fmla="*/ 2147483647 h 182"/>
            <a:gd name="T10" fmla="*/ 2147483647 w 46"/>
            <a:gd name="T11" fmla="*/ 2147483647 h 182"/>
            <a:gd name="T12" fmla="*/ 2147483647 w 46"/>
            <a:gd name="T13" fmla="*/ 2147483647 h 182"/>
            <a:gd name="T14" fmla="*/ 2147483647 w 46"/>
            <a:gd name="T15" fmla="*/ 2147483647 h 182"/>
            <a:gd name="T16" fmla="*/ 0 60000 65536"/>
            <a:gd name="T17" fmla="*/ 0 60000 65536"/>
            <a:gd name="T18" fmla="*/ 0 60000 65536"/>
            <a:gd name="T19" fmla="*/ 0 60000 65536"/>
            <a:gd name="T20" fmla="*/ 0 60000 65536"/>
            <a:gd name="T21" fmla="*/ 0 60000 65536"/>
            <a:gd name="T22" fmla="*/ 0 60000 65536"/>
            <a:gd name="T23" fmla="*/ 0 60000 65536"/>
            <a:gd name="T24" fmla="*/ 0 w 46"/>
            <a:gd name="T25" fmla="*/ 0 h 182"/>
            <a:gd name="T26" fmla="*/ 46 w 46"/>
            <a:gd name="T27" fmla="*/ 182 h 182"/>
          </a:gdLst>
          <a:ahLst/>
          <a:cxnLst>
            <a:cxn ang="T16">
              <a:pos x="T0" y="T1"/>
            </a:cxn>
            <a:cxn ang="T17">
              <a:pos x="T2" y="T3"/>
            </a:cxn>
            <a:cxn ang="T18">
              <a:pos x="T4" y="T5"/>
            </a:cxn>
            <a:cxn ang="T19">
              <a:pos x="T6" y="T7"/>
            </a:cxn>
            <a:cxn ang="T20">
              <a:pos x="T8" y="T9"/>
            </a:cxn>
            <a:cxn ang="T21">
              <a:pos x="T10" y="T11"/>
            </a:cxn>
            <a:cxn ang="T22">
              <a:pos x="T12" y="T13"/>
            </a:cxn>
            <a:cxn ang="T23">
              <a:pos x="T14" y="T15"/>
            </a:cxn>
          </a:cxnLst>
          <a:rect l="T24" t="T25" r="T26" b="T27"/>
          <a:pathLst>
            <a:path w="46" h="182">
              <a:moveTo>
                <a:pt x="0" y="0"/>
              </a:moveTo>
              <a:cubicBezTo>
                <a:pt x="5" y="8"/>
                <a:pt x="10" y="17"/>
                <a:pt x="13" y="24"/>
              </a:cubicBezTo>
              <a:cubicBezTo>
                <a:pt x="16" y="31"/>
                <a:pt x="18" y="36"/>
                <a:pt x="21" y="44"/>
              </a:cubicBezTo>
              <a:cubicBezTo>
                <a:pt x="24" y="52"/>
                <a:pt x="29" y="62"/>
                <a:pt x="32" y="72"/>
              </a:cubicBezTo>
              <a:cubicBezTo>
                <a:pt x="35" y="82"/>
                <a:pt x="38" y="94"/>
                <a:pt x="40" y="106"/>
              </a:cubicBezTo>
              <a:cubicBezTo>
                <a:pt x="42" y="118"/>
                <a:pt x="44" y="132"/>
                <a:pt x="45" y="144"/>
              </a:cubicBezTo>
              <a:cubicBezTo>
                <a:pt x="46" y="156"/>
                <a:pt x="45" y="178"/>
                <a:pt x="45" y="180"/>
              </a:cubicBezTo>
              <a:cubicBezTo>
                <a:pt x="45" y="182"/>
                <a:pt x="46" y="160"/>
                <a:pt x="46" y="156"/>
              </a:cubicBezTo>
            </a:path>
          </a:pathLst>
        </a:custGeom>
        <a:noFill/>
        <a:ln w="9525">
          <a:solidFill>
            <a:srgbClr val="000000"/>
          </a:solidFill>
          <a:prstDash val="dash"/>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7</xdr:col>
      <xdr:colOff>171450</xdr:colOff>
      <xdr:row>142</xdr:row>
      <xdr:rowOff>82550</xdr:rowOff>
    </xdr:from>
    <xdr:to>
      <xdr:col>8</xdr:col>
      <xdr:colOff>0</xdr:colOff>
      <xdr:row>153</xdr:row>
      <xdr:rowOff>25400</xdr:rowOff>
    </xdr:to>
    <xdr:sp macro="" textlink="">
      <xdr:nvSpPr>
        <xdr:cNvPr id="522226" name="Freeform 132">
          <a:extLst>
            <a:ext uri="{FF2B5EF4-FFF2-40B4-BE49-F238E27FC236}">
              <a16:creationId xmlns:a16="http://schemas.microsoft.com/office/drawing/2014/main" id="{DFCEE7C1-37B1-4B60-B94B-172C79A403CB}"/>
            </a:ext>
          </a:extLst>
        </xdr:cNvPr>
        <xdr:cNvSpPr>
          <a:spLocks/>
        </xdr:cNvSpPr>
      </xdr:nvSpPr>
      <xdr:spPr bwMode="auto">
        <a:xfrm flipV="1">
          <a:off x="7207250" y="23425150"/>
          <a:ext cx="444500" cy="1689100"/>
        </a:xfrm>
        <a:custGeom>
          <a:avLst/>
          <a:gdLst>
            <a:gd name="T0" fmla="*/ 0 w 46"/>
            <a:gd name="T1" fmla="*/ 0 h 182"/>
            <a:gd name="T2" fmla="*/ 2147483647 w 46"/>
            <a:gd name="T3" fmla="*/ 2147483647 h 182"/>
            <a:gd name="T4" fmla="*/ 2147483647 w 46"/>
            <a:gd name="T5" fmla="*/ 2147483647 h 182"/>
            <a:gd name="T6" fmla="*/ 2147483647 w 46"/>
            <a:gd name="T7" fmla="*/ 2147483647 h 182"/>
            <a:gd name="T8" fmla="*/ 2147483647 w 46"/>
            <a:gd name="T9" fmla="*/ 2147483647 h 182"/>
            <a:gd name="T10" fmla="*/ 2147483647 w 46"/>
            <a:gd name="T11" fmla="*/ 2147483647 h 182"/>
            <a:gd name="T12" fmla="*/ 2147483647 w 46"/>
            <a:gd name="T13" fmla="*/ 2147483647 h 182"/>
            <a:gd name="T14" fmla="*/ 2147483647 w 46"/>
            <a:gd name="T15" fmla="*/ 2147483647 h 182"/>
            <a:gd name="T16" fmla="*/ 0 60000 65536"/>
            <a:gd name="T17" fmla="*/ 0 60000 65536"/>
            <a:gd name="T18" fmla="*/ 0 60000 65536"/>
            <a:gd name="T19" fmla="*/ 0 60000 65536"/>
            <a:gd name="T20" fmla="*/ 0 60000 65536"/>
            <a:gd name="T21" fmla="*/ 0 60000 65536"/>
            <a:gd name="T22" fmla="*/ 0 60000 65536"/>
            <a:gd name="T23" fmla="*/ 0 60000 65536"/>
            <a:gd name="T24" fmla="*/ 0 w 46"/>
            <a:gd name="T25" fmla="*/ 0 h 182"/>
            <a:gd name="T26" fmla="*/ 46 w 46"/>
            <a:gd name="T27" fmla="*/ 182 h 182"/>
          </a:gdLst>
          <a:ahLst/>
          <a:cxnLst>
            <a:cxn ang="T16">
              <a:pos x="T0" y="T1"/>
            </a:cxn>
            <a:cxn ang="T17">
              <a:pos x="T2" y="T3"/>
            </a:cxn>
            <a:cxn ang="T18">
              <a:pos x="T4" y="T5"/>
            </a:cxn>
            <a:cxn ang="T19">
              <a:pos x="T6" y="T7"/>
            </a:cxn>
            <a:cxn ang="T20">
              <a:pos x="T8" y="T9"/>
            </a:cxn>
            <a:cxn ang="T21">
              <a:pos x="T10" y="T11"/>
            </a:cxn>
            <a:cxn ang="T22">
              <a:pos x="T12" y="T13"/>
            </a:cxn>
            <a:cxn ang="T23">
              <a:pos x="T14" y="T15"/>
            </a:cxn>
          </a:cxnLst>
          <a:rect l="T24" t="T25" r="T26" b="T27"/>
          <a:pathLst>
            <a:path w="46" h="182">
              <a:moveTo>
                <a:pt x="0" y="0"/>
              </a:moveTo>
              <a:cubicBezTo>
                <a:pt x="5" y="8"/>
                <a:pt x="10" y="17"/>
                <a:pt x="13" y="24"/>
              </a:cubicBezTo>
              <a:cubicBezTo>
                <a:pt x="16" y="31"/>
                <a:pt x="18" y="36"/>
                <a:pt x="21" y="44"/>
              </a:cubicBezTo>
              <a:cubicBezTo>
                <a:pt x="24" y="52"/>
                <a:pt x="29" y="62"/>
                <a:pt x="32" y="72"/>
              </a:cubicBezTo>
              <a:cubicBezTo>
                <a:pt x="35" y="82"/>
                <a:pt x="38" y="94"/>
                <a:pt x="40" y="106"/>
              </a:cubicBezTo>
              <a:cubicBezTo>
                <a:pt x="42" y="118"/>
                <a:pt x="44" y="132"/>
                <a:pt x="45" y="144"/>
              </a:cubicBezTo>
              <a:cubicBezTo>
                <a:pt x="46" y="156"/>
                <a:pt x="45" y="178"/>
                <a:pt x="45" y="180"/>
              </a:cubicBezTo>
              <a:cubicBezTo>
                <a:pt x="45" y="182"/>
                <a:pt x="46" y="160"/>
                <a:pt x="46" y="156"/>
              </a:cubicBezTo>
            </a:path>
          </a:pathLst>
        </a:custGeom>
        <a:noFill/>
        <a:ln w="9525">
          <a:solidFill>
            <a:srgbClr val="000000"/>
          </a:solidFill>
          <a:prstDash val="dash"/>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7</xdr:col>
      <xdr:colOff>438150</xdr:colOff>
      <xdr:row>150</xdr:row>
      <xdr:rowOff>117475</xdr:rowOff>
    </xdr:from>
    <xdr:ext cx="1022589" cy="176972"/>
    <xdr:sp macro="" textlink="">
      <xdr:nvSpPr>
        <xdr:cNvPr id="1157" name="Text Box 133">
          <a:extLst>
            <a:ext uri="{FF2B5EF4-FFF2-40B4-BE49-F238E27FC236}">
              <a16:creationId xmlns:a16="http://schemas.microsoft.com/office/drawing/2014/main" id="{5E2E98E0-F6CC-42DE-AE3A-68CC71DDF0A9}"/>
            </a:ext>
          </a:extLst>
        </xdr:cNvPr>
        <xdr:cNvSpPr txBox="1">
          <a:spLocks noChangeArrowheads="1"/>
        </xdr:cNvSpPr>
      </xdr:nvSpPr>
      <xdr:spPr bwMode="auto">
        <a:xfrm>
          <a:off x="8155517" y="24147992"/>
          <a:ext cx="928972"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Intercept Object</a:t>
          </a:r>
        </a:p>
      </xdr:txBody>
    </xdr:sp>
    <xdr:clientData/>
  </xdr:oneCellAnchor>
  <xdr:oneCellAnchor>
    <xdr:from>
      <xdr:col>3</xdr:col>
      <xdr:colOff>781050</xdr:colOff>
      <xdr:row>150</xdr:row>
      <xdr:rowOff>9525</xdr:rowOff>
    </xdr:from>
    <xdr:ext cx="1696320" cy="170870"/>
    <xdr:sp macro="" textlink="">
      <xdr:nvSpPr>
        <xdr:cNvPr id="1158" name="Text Box 134">
          <a:extLst>
            <a:ext uri="{FF2B5EF4-FFF2-40B4-BE49-F238E27FC236}">
              <a16:creationId xmlns:a16="http://schemas.microsoft.com/office/drawing/2014/main" id="{F27981B1-FBE5-403E-8314-AF3894FA768A}"/>
            </a:ext>
          </a:extLst>
        </xdr:cNvPr>
        <xdr:cNvSpPr txBox="1">
          <a:spLocks noChangeArrowheads="1"/>
        </xdr:cNvSpPr>
      </xdr:nvSpPr>
      <xdr:spPr bwMode="auto">
        <a:xfrm>
          <a:off x="5441950" y="23847425"/>
          <a:ext cx="1586592"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Spacecraft Current Position</a:t>
          </a:r>
        </a:p>
      </xdr:txBody>
    </xdr:sp>
    <xdr:clientData/>
  </xdr:oneCellAnchor>
  <xdr:oneCellAnchor>
    <xdr:from>
      <xdr:col>2</xdr:col>
      <xdr:colOff>444500</xdr:colOff>
      <xdr:row>143</xdr:row>
      <xdr:rowOff>66675</xdr:rowOff>
    </xdr:from>
    <xdr:ext cx="253135" cy="171073"/>
    <xdr:sp macro="" textlink="">
      <xdr:nvSpPr>
        <xdr:cNvPr id="1160" name="Text Box 136">
          <a:extLst>
            <a:ext uri="{FF2B5EF4-FFF2-40B4-BE49-F238E27FC236}">
              <a16:creationId xmlns:a16="http://schemas.microsoft.com/office/drawing/2014/main" id="{747BC6D4-CCE7-4C55-A781-71AA51D26356}"/>
            </a:ext>
          </a:extLst>
        </xdr:cNvPr>
        <xdr:cNvSpPr txBox="1">
          <a:spLocks noChangeArrowheads="1"/>
        </xdr:cNvSpPr>
      </xdr:nvSpPr>
      <xdr:spPr bwMode="auto">
        <a:xfrm>
          <a:off x="4121150" y="23036742"/>
          <a:ext cx="246644"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Sun</a:t>
          </a:r>
        </a:p>
      </xdr:txBody>
    </xdr:sp>
    <xdr:clientData/>
  </xdr:oneCellAnchor>
  <xdr:oneCellAnchor>
    <xdr:from>
      <xdr:col>4</xdr:col>
      <xdr:colOff>19050</xdr:colOff>
      <xdr:row>137</xdr:row>
      <xdr:rowOff>9525</xdr:rowOff>
    </xdr:from>
    <xdr:ext cx="1326375" cy="171073"/>
    <xdr:sp macro="" textlink="">
      <xdr:nvSpPr>
        <xdr:cNvPr id="1161" name="Text Box 137">
          <a:extLst>
            <a:ext uri="{FF2B5EF4-FFF2-40B4-BE49-F238E27FC236}">
              <a16:creationId xmlns:a16="http://schemas.microsoft.com/office/drawing/2014/main" id="{9569D2EE-976E-4174-910C-F1115E38EFCB}"/>
            </a:ext>
          </a:extLst>
        </xdr:cNvPr>
        <xdr:cNvSpPr txBox="1">
          <a:spLocks noChangeArrowheads="1"/>
        </xdr:cNvSpPr>
      </xdr:nvSpPr>
      <xdr:spPr bwMode="auto">
        <a:xfrm>
          <a:off x="5480050" y="21866225"/>
          <a:ext cx="1280080"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Earth Current Position</a:t>
          </a:r>
        </a:p>
      </xdr:txBody>
    </xdr:sp>
    <xdr:clientData/>
  </xdr:oneCellAnchor>
  <xdr:oneCellAnchor>
    <xdr:from>
      <xdr:col>7</xdr:col>
      <xdr:colOff>438150</xdr:colOff>
      <xdr:row>151</xdr:row>
      <xdr:rowOff>146050</xdr:rowOff>
    </xdr:from>
    <xdr:ext cx="937821" cy="170560"/>
    <xdr:sp macro="" textlink="">
      <xdr:nvSpPr>
        <xdr:cNvPr id="1162" name="Text Box 138">
          <a:extLst>
            <a:ext uri="{FF2B5EF4-FFF2-40B4-BE49-F238E27FC236}">
              <a16:creationId xmlns:a16="http://schemas.microsoft.com/office/drawing/2014/main" id="{DAA65D1C-82B7-4466-809D-D4182208D5B7}"/>
            </a:ext>
          </a:extLst>
        </xdr:cNvPr>
        <xdr:cNvSpPr txBox="1">
          <a:spLocks noChangeArrowheads="1"/>
        </xdr:cNvSpPr>
      </xdr:nvSpPr>
      <xdr:spPr bwMode="auto">
        <a:xfrm>
          <a:off x="7486650" y="25139650"/>
          <a:ext cx="937821"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Current Position</a:t>
          </a:r>
        </a:p>
      </xdr:txBody>
    </xdr:sp>
    <xdr:clientData/>
  </xdr:oneCellAnchor>
  <xdr:oneCellAnchor>
    <xdr:from>
      <xdr:col>5</xdr:col>
      <xdr:colOff>104775</xdr:colOff>
      <xdr:row>142</xdr:row>
      <xdr:rowOff>127000</xdr:rowOff>
    </xdr:from>
    <xdr:ext cx="899899" cy="196636"/>
    <xdr:sp macro="" textlink="">
      <xdr:nvSpPr>
        <xdr:cNvPr id="1163" name="Text Box 139">
          <a:extLst>
            <a:ext uri="{FF2B5EF4-FFF2-40B4-BE49-F238E27FC236}">
              <a16:creationId xmlns:a16="http://schemas.microsoft.com/office/drawing/2014/main" id="{EC3DA06E-00CF-49AF-82D5-D4B32DA3389A}"/>
            </a:ext>
          </a:extLst>
        </xdr:cNvPr>
        <xdr:cNvSpPr txBox="1">
          <a:spLocks noChangeArrowheads="1"/>
        </xdr:cNvSpPr>
      </xdr:nvSpPr>
      <xdr:spPr bwMode="auto">
        <a:xfrm>
          <a:off x="6289675" y="22938317"/>
          <a:ext cx="859605"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Current Range</a:t>
          </a:r>
        </a:p>
      </xdr:txBody>
    </xdr:sp>
    <xdr:clientData/>
  </xdr:oneCellAnchor>
  <xdr:oneCellAnchor>
    <xdr:from>
      <xdr:col>2</xdr:col>
      <xdr:colOff>527050</xdr:colOff>
      <xdr:row>139</xdr:row>
      <xdr:rowOff>111125</xdr:rowOff>
    </xdr:from>
    <xdr:ext cx="582865" cy="176972"/>
    <xdr:sp macro="" textlink="">
      <xdr:nvSpPr>
        <xdr:cNvPr id="1164" name="Text Box 140">
          <a:extLst>
            <a:ext uri="{FF2B5EF4-FFF2-40B4-BE49-F238E27FC236}">
              <a16:creationId xmlns:a16="http://schemas.microsoft.com/office/drawing/2014/main" id="{C669BA5F-E55E-47AE-8370-9CFC13E32191}"/>
            </a:ext>
          </a:extLst>
        </xdr:cNvPr>
        <xdr:cNvSpPr txBox="1">
          <a:spLocks noChangeArrowheads="1"/>
        </xdr:cNvSpPr>
      </xdr:nvSpPr>
      <xdr:spPr bwMode="auto">
        <a:xfrm>
          <a:off x="4210050" y="22266275"/>
          <a:ext cx="481835"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1.00 AU</a:t>
          </a:r>
        </a:p>
      </xdr:txBody>
    </xdr:sp>
    <xdr:clientData/>
  </xdr:oneCellAnchor>
  <xdr:oneCellAnchor>
    <xdr:from>
      <xdr:col>2</xdr:col>
      <xdr:colOff>755650</xdr:colOff>
      <xdr:row>156</xdr:row>
      <xdr:rowOff>6350</xdr:rowOff>
    </xdr:from>
    <xdr:ext cx="2717636" cy="190081"/>
    <xdr:sp macro="" textlink="">
      <xdr:nvSpPr>
        <xdr:cNvPr id="1165" name="Text Box 141">
          <a:extLst>
            <a:ext uri="{FF2B5EF4-FFF2-40B4-BE49-F238E27FC236}">
              <a16:creationId xmlns:a16="http://schemas.microsoft.com/office/drawing/2014/main" id="{2D822F86-48B3-489D-8E60-C0BE9F92A836}"/>
            </a:ext>
          </a:extLst>
        </xdr:cNvPr>
        <xdr:cNvSpPr txBox="1">
          <a:spLocks noChangeArrowheads="1"/>
        </xdr:cNvSpPr>
      </xdr:nvSpPr>
      <xdr:spPr bwMode="auto">
        <a:xfrm>
          <a:off x="4457700" y="24957617"/>
          <a:ext cx="2462858"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Heliocentric Transfer Mission (Example)</a:t>
          </a:r>
        </a:p>
      </xdr:txBody>
    </xdr:sp>
    <xdr:clientData/>
  </xdr:oneCellAnchor>
  <xdr:twoCellAnchor>
    <xdr:from>
      <xdr:col>7</xdr:col>
      <xdr:colOff>571500</xdr:colOff>
      <xdr:row>142</xdr:row>
      <xdr:rowOff>82550</xdr:rowOff>
    </xdr:from>
    <xdr:to>
      <xdr:col>8</xdr:col>
      <xdr:colOff>25400</xdr:colOff>
      <xdr:row>142</xdr:row>
      <xdr:rowOff>146050</xdr:rowOff>
    </xdr:to>
    <xdr:sp macro="" textlink="">
      <xdr:nvSpPr>
        <xdr:cNvPr id="522235" name="Oval 142">
          <a:extLst>
            <a:ext uri="{FF2B5EF4-FFF2-40B4-BE49-F238E27FC236}">
              <a16:creationId xmlns:a16="http://schemas.microsoft.com/office/drawing/2014/main" id="{A85FD188-4699-4B2F-9FFD-78485DA63CF3}"/>
            </a:ext>
          </a:extLst>
        </xdr:cNvPr>
        <xdr:cNvSpPr>
          <a:spLocks noChangeArrowheads="1"/>
        </xdr:cNvSpPr>
      </xdr:nvSpPr>
      <xdr:spPr bwMode="auto">
        <a:xfrm>
          <a:off x="7607300" y="23425150"/>
          <a:ext cx="69850" cy="63500"/>
        </a:xfrm>
        <a:prstGeom prst="ellipse">
          <a:avLst/>
        </a:prstGeom>
        <a:solidFill>
          <a:srgbClr val="000000"/>
        </a:solidFill>
        <a:ln w="9525">
          <a:solidFill>
            <a:srgbClr val="000000"/>
          </a:solidFill>
          <a:round/>
          <a:headEnd/>
          <a:tailEnd/>
        </a:ln>
      </xdr:spPr>
    </xdr:sp>
    <xdr:clientData/>
  </xdr:twoCellAnchor>
  <xdr:oneCellAnchor>
    <xdr:from>
      <xdr:col>8</xdr:col>
      <xdr:colOff>50800</xdr:colOff>
      <xdr:row>142</xdr:row>
      <xdr:rowOff>38100</xdr:rowOff>
    </xdr:from>
    <xdr:ext cx="1284389" cy="170870"/>
    <xdr:sp macro="" textlink="">
      <xdr:nvSpPr>
        <xdr:cNvPr id="1167" name="Text Box 143">
          <a:extLst>
            <a:ext uri="{FF2B5EF4-FFF2-40B4-BE49-F238E27FC236}">
              <a16:creationId xmlns:a16="http://schemas.microsoft.com/office/drawing/2014/main" id="{7995DCA2-EFD9-4E65-8E55-AED0BAD22E82}"/>
            </a:ext>
          </a:extLst>
        </xdr:cNvPr>
        <xdr:cNvSpPr txBox="1">
          <a:spLocks noChangeArrowheads="1"/>
        </xdr:cNvSpPr>
      </xdr:nvSpPr>
      <xdr:spPr bwMode="auto">
        <a:xfrm>
          <a:off x="8401050" y="22656800"/>
          <a:ext cx="1251652"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Future Intercept Point</a:t>
          </a:r>
        </a:p>
      </xdr:txBody>
    </xdr:sp>
    <xdr:clientData/>
  </xdr:oneCellAnchor>
  <xdr:twoCellAnchor>
    <xdr:from>
      <xdr:col>3</xdr:col>
      <xdr:colOff>431800</xdr:colOff>
      <xdr:row>135</xdr:row>
      <xdr:rowOff>133350</xdr:rowOff>
    </xdr:from>
    <xdr:to>
      <xdr:col>3</xdr:col>
      <xdr:colOff>723900</xdr:colOff>
      <xdr:row>137</xdr:row>
      <xdr:rowOff>133350</xdr:rowOff>
    </xdr:to>
    <xdr:sp macro="" textlink="">
      <xdr:nvSpPr>
        <xdr:cNvPr id="522237" name="Line 144">
          <a:extLst>
            <a:ext uri="{FF2B5EF4-FFF2-40B4-BE49-F238E27FC236}">
              <a16:creationId xmlns:a16="http://schemas.microsoft.com/office/drawing/2014/main" id="{08DD728C-0804-43F4-8522-72D2FD6CE286}"/>
            </a:ext>
          </a:extLst>
        </xdr:cNvPr>
        <xdr:cNvSpPr>
          <a:spLocks noChangeShapeType="1"/>
        </xdr:cNvSpPr>
      </xdr:nvSpPr>
      <xdr:spPr bwMode="auto">
        <a:xfrm flipH="1" flipV="1">
          <a:off x="4648200" y="22364700"/>
          <a:ext cx="292100" cy="317500"/>
        </a:xfrm>
        <a:prstGeom prst="line">
          <a:avLst/>
        </a:prstGeom>
        <a:noFill/>
        <a:ln w="9525">
          <a:solidFill>
            <a:srgbClr val="0000FF"/>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476250</xdr:colOff>
      <xdr:row>148</xdr:row>
      <xdr:rowOff>82550</xdr:rowOff>
    </xdr:from>
    <xdr:to>
      <xdr:col>7</xdr:col>
      <xdr:colOff>234950</xdr:colOff>
      <xdr:row>150</xdr:row>
      <xdr:rowOff>107950</xdr:rowOff>
    </xdr:to>
    <xdr:sp macro="" textlink="">
      <xdr:nvSpPr>
        <xdr:cNvPr id="522238" name="Line 145">
          <a:extLst>
            <a:ext uri="{FF2B5EF4-FFF2-40B4-BE49-F238E27FC236}">
              <a16:creationId xmlns:a16="http://schemas.microsoft.com/office/drawing/2014/main" id="{54FE02F1-B192-4836-9D35-D6C90CE165A1}"/>
            </a:ext>
          </a:extLst>
        </xdr:cNvPr>
        <xdr:cNvSpPr>
          <a:spLocks noChangeShapeType="1"/>
        </xdr:cNvSpPr>
      </xdr:nvSpPr>
      <xdr:spPr bwMode="auto">
        <a:xfrm flipV="1">
          <a:off x="6756400" y="24377650"/>
          <a:ext cx="514350" cy="342900"/>
        </a:xfrm>
        <a:prstGeom prst="line">
          <a:avLst/>
        </a:prstGeom>
        <a:noFill/>
        <a:ln w="9525">
          <a:solidFill>
            <a:srgbClr val="0000FF"/>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336550</xdr:colOff>
      <xdr:row>148</xdr:row>
      <xdr:rowOff>63500</xdr:rowOff>
    </xdr:from>
    <xdr:to>
      <xdr:col>7</xdr:col>
      <xdr:colOff>533400</xdr:colOff>
      <xdr:row>151</xdr:row>
      <xdr:rowOff>50800</xdr:rowOff>
    </xdr:to>
    <xdr:sp macro="" textlink="">
      <xdr:nvSpPr>
        <xdr:cNvPr id="522239" name="Line 146">
          <a:extLst>
            <a:ext uri="{FF2B5EF4-FFF2-40B4-BE49-F238E27FC236}">
              <a16:creationId xmlns:a16="http://schemas.microsoft.com/office/drawing/2014/main" id="{B831C565-0DA0-4713-8F78-E767E63B30E9}"/>
            </a:ext>
          </a:extLst>
        </xdr:cNvPr>
        <xdr:cNvSpPr>
          <a:spLocks noChangeShapeType="1"/>
        </xdr:cNvSpPr>
      </xdr:nvSpPr>
      <xdr:spPr bwMode="auto">
        <a:xfrm flipV="1">
          <a:off x="7372350" y="24358600"/>
          <a:ext cx="196850" cy="463550"/>
        </a:xfrm>
        <a:prstGeom prst="line">
          <a:avLst/>
        </a:prstGeom>
        <a:noFill/>
        <a:ln w="9525">
          <a:solidFill>
            <a:srgbClr val="0000FF"/>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1568450</xdr:colOff>
      <xdr:row>12</xdr:row>
      <xdr:rowOff>82550</xdr:rowOff>
    </xdr:from>
    <xdr:to>
      <xdr:col>1</xdr:col>
      <xdr:colOff>171450</xdr:colOff>
      <xdr:row>12</xdr:row>
      <xdr:rowOff>82550</xdr:rowOff>
    </xdr:to>
    <xdr:sp macro="" textlink="">
      <xdr:nvSpPr>
        <xdr:cNvPr id="21995" name="Line 1">
          <a:extLst>
            <a:ext uri="{FF2B5EF4-FFF2-40B4-BE49-F238E27FC236}">
              <a16:creationId xmlns:a16="http://schemas.microsoft.com/office/drawing/2014/main" id="{8A6496F0-86A8-4FB0-A895-F13971BA9E3D}"/>
            </a:ext>
          </a:extLst>
        </xdr:cNvPr>
        <xdr:cNvSpPr>
          <a:spLocks noChangeShapeType="1"/>
        </xdr:cNvSpPr>
      </xdr:nvSpPr>
      <xdr:spPr bwMode="auto">
        <a:xfrm>
          <a:off x="1568450" y="2349500"/>
          <a:ext cx="406400" cy="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0</xdr:col>
      <xdr:colOff>1549400</xdr:colOff>
      <xdr:row>18</xdr:row>
      <xdr:rowOff>82550</xdr:rowOff>
    </xdr:from>
    <xdr:to>
      <xdr:col>1</xdr:col>
      <xdr:colOff>184150</xdr:colOff>
      <xdr:row>18</xdr:row>
      <xdr:rowOff>82550</xdr:rowOff>
    </xdr:to>
    <xdr:sp macro="" textlink="">
      <xdr:nvSpPr>
        <xdr:cNvPr id="21996" name="Line 2">
          <a:extLst>
            <a:ext uri="{FF2B5EF4-FFF2-40B4-BE49-F238E27FC236}">
              <a16:creationId xmlns:a16="http://schemas.microsoft.com/office/drawing/2014/main" id="{3B767F44-E8EA-4003-9CC4-4DD1732B052C}"/>
            </a:ext>
          </a:extLst>
        </xdr:cNvPr>
        <xdr:cNvSpPr>
          <a:spLocks noChangeShapeType="1"/>
        </xdr:cNvSpPr>
      </xdr:nvSpPr>
      <xdr:spPr bwMode="auto">
        <a:xfrm>
          <a:off x="1549400" y="3340100"/>
          <a:ext cx="438150" cy="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12</xdr:col>
      <xdr:colOff>584200</xdr:colOff>
      <xdr:row>0</xdr:row>
      <xdr:rowOff>133350</xdr:rowOff>
    </xdr:from>
    <xdr:to>
      <xdr:col>12</xdr:col>
      <xdr:colOff>584200</xdr:colOff>
      <xdr:row>9</xdr:row>
      <xdr:rowOff>0</xdr:rowOff>
    </xdr:to>
    <xdr:sp macro="" textlink="">
      <xdr:nvSpPr>
        <xdr:cNvPr id="21997" name="Line 3">
          <a:extLst>
            <a:ext uri="{FF2B5EF4-FFF2-40B4-BE49-F238E27FC236}">
              <a16:creationId xmlns:a16="http://schemas.microsoft.com/office/drawing/2014/main" id="{93AA3169-1BE9-4CE5-A52C-2B495C8A8F48}"/>
            </a:ext>
          </a:extLst>
        </xdr:cNvPr>
        <xdr:cNvSpPr>
          <a:spLocks noChangeShapeType="1"/>
        </xdr:cNvSpPr>
      </xdr:nvSpPr>
      <xdr:spPr bwMode="auto">
        <a:xfrm flipH="1">
          <a:off x="9448800" y="133350"/>
          <a:ext cx="0" cy="1638300"/>
        </a:xfrm>
        <a:prstGeom prst="line">
          <a:avLst/>
        </a:prstGeom>
        <a:noFill/>
        <a:ln w="3810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171450</xdr:colOff>
      <xdr:row>0</xdr:row>
      <xdr:rowOff>120650</xdr:rowOff>
    </xdr:from>
    <xdr:to>
      <xdr:col>12</xdr:col>
      <xdr:colOff>590550</xdr:colOff>
      <xdr:row>0</xdr:row>
      <xdr:rowOff>120650</xdr:rowOff>
    </xdr:to>
    <xdr:sp macro="" textlink="">
      <xdr:nvSpPr>
        <xdr:cNvPr id="21998" name="Line 4">
          <a:extLst>
            <a:ext uri="{FF2B5EF4-FFF2-40B4-BE49-F238E27FC236}">
              <a16:creationId xmlns:a16="http://schemas.microsoft.com/office/drawing/2014/main" id="{11D4B0D0-8BB1-4BFC-B34D-31EB640D7D39}"/>
            </a:ext>
          </a:extLst>
        </xdr:cNvPr>
        <xdr:cNvSpPr>
          <a:spLocks noChangeShapeType="1"/>
        </xdr:cNvSpPr>
      </xdr:nvSpPr>
      <xdr:spPr bwMode="auto">
        <a:xfrm flipV="1">
          <a:off x="5054600" y="120650"/>
          <a:ext cx="4400550" cy="0"/>
        </a:xfrm>
        <a:prstGeom prst="line">
          <a:avLst/>
        </a:prstGeom>
        <a:noFill/>
        <a:ln w="381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590550</xdr:colOff>
      <xdr:row>12</xdr:row>
      <xdr:rowOff>63500</xdr:rowOff>
    </xdr:from>
    <xdr:to>
      <xdr:col>12</xdr:col>
      <xdr:colOff>590550</xdr:colOff>
      <xdr:row>14</xdr:row>
      <xdr:rowOff>120650</xdr:rowOff>
    </xdr:to>
    <xdr:sp macro="" textlink="">
      <xdr:nvSpPr>
        <xdr:cNvPr id="21999" name="Line 5">
          <a:extLst>
            <a:ext uri="{FF2B5EF4-FFF2-40B4-BE49-F238E27FC236}">
              <a16:creationId xmlns:a16="http://schemas.microsoft.com/office/drawing/2014/main" id="{2A19693F-D127-4059-B1E9-D2EAEF3BD88D}"/>
            </a:ext>
          </a:extLst>
        </xdr:cNvPr>
        <xdr:cNvSpPr>
          <a:spLocks noChangeShapeType="1"/>
        </xdr:cNvSpPr>
      </xdr:nvSpPr>
      <xdr:spPr bwMode="auto">
        <a:xfrm flipH="1">
          <a:off x="9455150" y="2330450"/>
          <a:ext cx="0" cy="381000"/>
        </a:xfrm>
        <a:prstGeom prst="line">
          <a:avLst/>
        </a:prstGeom>
        <a:noFill/>
        <a:ln w="3810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drawings/drawing4.xml><?xml version="1.0" encoding="utf-8"?>
<xdr:wsDr xmlns:xdr="http://schemas.openxmlformats.org/drawingml/2006/spreadsheetDrawing" xmlns:a="http://schemas.openxmlformats.org/drawingml/2006/main">
  <xdr:twoCellAnchor>
    <xdr:from>
      <xdr:col>9</xdr:col>
      <xdr:colOff>86784</xdr:colOff>
      <xdr:row>7</xdr:row>
      <xdr:rowOff>121707</xdr:rowOff>
    </xdr:from>
    <xdr:to>
      <xdr:col>10</xdr:col>
      <xdr:colOff>29634</xdr:colOff>
      <xdr:row>10</xdr:row>
      <xdr:rowOff>65616</xdr:rowOff>
    </xdr:to>
    <xdr:sp macro="" textlink="">
      <xdr:nvSpPr>
        <xdr:cNvPr id="21" name="AutoShape 6">
          <a:extLst>
            <a:ext uri="{FF2B5EF4-FFF2-40B4-BE49-F238E27FC236}">
              <a16:creationId xmlns:a16="http://schemas.microsoft.com/office/drawing/2014/main" id="{3E39F7A0-C422-436C-98F4-91293B844E3D}"/>
            </a:ext>
          </a:extLst>
        </xdr:cNvPr>
        <xdr:cNvSpPr>
          <a:spLocks noChangeArrowheads="1"/>
        </xdr:cNvSpPr>
      </xdr:nvSpPr>
      <xdr:spPr bwMode="auto">
        <a:xfrm rot="10800000">
          <a:off x="6875992" y="1381124"/>
          <a:ext cx="556684" cy="425450"/>
        </a:xfrm>
        <a:prstGeom prst="triangle">
          <a:avLst>
            <a:gd name="adj" fmla="val 50000"/>
          </a:avLst>
        </a:prstGeom>
        <a:solidFill>
          <a:srgbClr val="FFFFFF"/>
        </a:solidFill>
        <a:ln w="19050">
          <a:solidFill>
            <a:srgbClr val="000000"/>
          </a:solidFill>
          <a:miter lim="800000"/>
          <a:headEnd/>
          <a:tailEnd/>
        </a:ln>
      </xdr:spPr>
    </xdr:sp>
    <xdr:clientData/>
  </xdr:twoCellAnchor>
  <xdr:twoCellAnchor>
    <xdr:from>
      <xdr:col>9</xdr:col>
      <xdr:colOff>366185</xdr:colOff>
      <xdr:row>7</xdr:row>
      <xdr:rowOff>128057</xdr:rowOff>
    </xdr:from>
    <xdr:to>
      <xdr:col>9</xdr:col>
      <xdr:colOff>366185</xdr:colOff>
      <xdr:row>11</xdr:row>
      <xdr:rowOff>110066</xdr:rowOff>
    </xdr:to>
    <xdr:sp macro="" textlink="">
      <xdr:nvSpPr>
        <xdr:cNvPr id="22" name="Line 7">
          <a:extLst>
            <a:ext uri="{FF2B5EF4-FFF2-40B4-BE49-F238E27FC236}">
              <a16:creationId xmlns:a16="http://schemas.microsoft.com/office/drawing/2014/main" id="{C7289F60-FD55-4857-BB0E-608EE366CBE2}"/>
            </a:ext>
          </a:extLst>
        </xdr:cNvPr>
        <xdr:cNvSpPr>
          <a:spLocks noChangeShapeType="1"/>
        </xdr:cNvSpPr>
      </xdr:nvSpPr>
      <xdr:spPr bwMode="auto">
        <a:xfrm>
          <a:off x="7155393" y="1387474"/>
          <a:ext cx="0" cy="6223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385234</xdr:colOff>
      <xdr:row>11</xdr:row>
      <xdr:rowOff>110067</xdr:rowOff>
    </xdr:from>
    <xdr:to>
      <xdr:col>9</xdr:col>
      <xdr:colOff>375286</xdr:colOff>
      <xdr:row>11</xdr:row>
      <xdr:rowOff>110067</xdr:rowOff>
    </xdr:to>
    <xdr:sp macro="" textlink="">
      <xdr:nvSpPr>
        <xdr:cNvPr id="23" name="Line 8">
          <a:extLst>
            <a:ext uri="{FF2B5EF4-FFF2-40B4-BE49-F238E27FC236}">
              <a16:creationId xmlns:a16="http://schemas.microsoft.com/office/drawing/2014/main" id="{13C4AA2F-0E09-4471-80AE-B8AAFC69049B}"/>
            </a:ext>
          </a:extLst>
        </xdr:cNvPr>
        <xdr:cNvSpPr>
          <a:spLocks noChangeShapeType="1"/>
        </xdr:cNvSpPr>
      </xdr:nvSpPr>
      <xdr:spPr bwMode="auto">
        <a:xfrm flipV="1">
          <a:off x="2226734" y="2009775"/>
          <a:ext cx="493776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txBody>
        <a:bodyPr/>
        <a:lstStyle/>
        <a:p>
          <a:endParaRPr lang="en-US"/>
        </a:p>
      </xdr:txBody>
    </xdr:sp>
    <xdr:clientData/>
  </xdr:twoCellAnchor>
  <xdr:twoCellAnchor>
    <xdr:from>
      <xdr:col>2</xdr:col>
      <xdr:colOff>423332</xdr:colOff>
      <xdr:row>9</xdr:row>
      <xdr:rowOff>100547</xdr:rowOff>
    </xdr:from>
    <xdr:to>
      <xdr:col>3</xdr:col>
      <xdr:colOff>406400</xdr:colOff>
      <xdr:row>13</xdr:row>
      <xdr:rowOff>120657</xdr:rowOff>
    </xdr:to>
    <xdr:sp macro="" textlink="">
      <xdr:nvSpPr>
        <xdr:cNvPr id="24" name="AutoShape 6">
          <a:extLst>
            <a:ext uri="{FF2B5EF4-FFF2-40B4-BE49-F238E27FC236}">
              <a16:creationId xmlns:a16="http://schemas.microsoft.com/office/drawing/2014/main" id="{4C002265-B3A0-41FE-AF8E-95FD46C1A395}"/>
            </a:ext>
          </a:extLst>
        </xdr:cNvPr>
        <xdr:cNvSpPr>
          <a:spLocks noChangeArrowheads="1"/>
        </xdr:cNvSpPr>
      </xdr:nvSpPr>
      <xdr:spPr bwMode="auto">
        <a:xfrm rot="5400000">
          <a:off x="1621895" y="1711859"/>
          <a:ext cx="655110" cy="596901"/>
        </a:xfrm>
        <a:prstGeom prst="triangle">
          <a:avLst>
            <a:gd name="adj" fmla="val 50000"/>
          </a:avLst>
        </a:prstGeom>
        <a:solidFill>
          <a:srgbClr val="FFFFFF"/>
        </a:solidFill>
        <a:ln w="19050">
          <a:solidFill>
            <a:srgbClr val="000000"/>
          </a:solidFill>
          <a:miter lim="800000"/>
          <a:headEnd/>
          <a:tailEnd/>
        </a:ln>
      </xdr:spPr>
      <xdr:txBody>
        <a:bodyPr vert="vert270" anchor="ctr"/>
        <a:lstStyle/>
        <a:p>
          <a:pPr algn="r"/>
          <a:r>
            <a:rPr lang="en-US" sz="1050" b="1">
              <a:latin typeface="Arial" panose="020B0604020202020204" pitchFamily="34" charset="0"/>
              <a:cs typeface="Arial" panose="020B0604020202020204" pitchFamily="34" charset="0"/>
            </a:rPr>
            <a:t>PA</a:t>
          </a:r>
          <a:endParaRPr lang="en-US" b="1">
            <a:latin typeface="Arial" panose="020B0604020202020204" pitchFamily="34" charset="0"/>
            <a:cs typeface="Arial" panose="020B0604020202020204" pitchFamily="34" charset="0"/>
          </a:endParaRPr>
        </a:p>
      </xdr:txBody>
    </xdr:sp>
    <xdr:clientData/>
  </xdr:twoCellAnchor>
  <xdr:oneCellAnchor>
    <xdr:from>
      <xdr:col>3</xdr:col>
      <xdr:colOff>427569</xdr:colOff>
      <xdr:row>10</xdr:row>
      <xdr:rowOff>46568</xdr:rowOff>
    </xdr:from>
    <xdr:ext cx="576568" cy="239809"/>
    <xdr:sp macro="" textlink="">
      <xdr:nvSpPr>
        <xdr:cNvPr id="25" name="TextBox 24">
          <a:extLst>
            <a:ext uri="{FF2B5EF4-FFF2-40B4-BE49-F238E27FC236}">
              <a16:creationId xmlns:a16="http://schemas.microsoft.com/office/drawing/2014/main" id="{B5EE4F02-C8B7-4AC0-A026-BFB06C43103B}"/>
            </a:ext>
          </a:extLst>
        </xdr:cNvPr>
        <xdr:cNvSpPr txBox="1"/>
      </xdr:nvSpPr>
      <xdr:spPr>
        <a:xfrm>
          <a:off x="2269069" y="1787526"/>
          <a:ext cx="576568" cy="2398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000" b="1">
              <a:latin typeface="Arial" panose="020B0604020202020204" pitchFamily="34" charset="0"/>
              <a:cs typeface="Arial" panose="020B0604020202020204" pitchFamily="34" charset="0"/>
            </a:rPr>
            <a:t>Line A</a:t>
          </a:r>
        </a:p>
      </xdr:txBody>
    </xdr:sp>
    <xdr:clientData/>
  </xdr:oneCellAnchor>
  <xdr:twoCellAnchor>
    <xdr:from>
      <xdr:col>9</xdr:col>
      <xdr:colOff>517527</xdr:colOff>
      <xdr:row>10</xdr:row>
      <xdr:rowOff>9524</xdr:rowOff>
    </xdr:from>
    <xdr:to>
      <xdr:col>9</xdr:col>
      <xdr:colOff>517527</xdr:colOff>
      <xdr:row>11</xdr:row>
      <xdr:rowOff>104774</xdr:rowOff>
    </xdr:to>
    <xdr:sp macro="" textlink="">
      <xdr:nvSpPr>
        <xdr:cNvPr id="27" name="Line 25">
          <a:extLst>
            <a:ext uri="{FF2B5EF4-FFF2-40B4-BE49-F238E27FC236}">
              <a16:creationId xmlns:a16="http://schemas.microsoft.com/office/drawing/2014/main" id="{F92EF8AE-5AB2-4FE1-9303-9D15B2E23816}"/>
            </a:ext>
          </a:extLst>
        </xdr:cNvPr>
        <xdr:cNvSpPr>
          <a:spLocks noChangeShapeType="1"/>
        </xdr:cNvSpPr>
      </xdr:nvSpPr>
      <xdr:spPr bwMode="auto">
        <a:xfrm>
          <a:off x="7306735" y="1750482"/>
          <a:ext cx="0" cy="254000"/>
        </a:xfrm>
        <a:prstGeom prst="line">
          <a:avLst/>
        </a:prstGeom>
        <a:noFill/>
        <a:ln w="12700">
          <a:solidFill>
            <a:srgbClr val="FF0000"/>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oneCellAnchor>
    <xdr:from>
      <xdr:col>9</xdr:col>
      <xdr:colOff>536577</xdr:colOff>
      <xdr:row>10</xdr:row>
      <xdr:rowOff>17992</xdr:rowOff>
    </xdr:from>
    <xdr:ext cx="1246623" cy="239809"/>
    <xdr:sp macro="" textlink="">
      <xdr:nvSpPr>
        <xdr:cNvPr id="28" name="TextBox 27">
          <a:extLst>
            <a:ext uri="{FF2B5EF4-FFF2-40B4-BE49-F238E27FC236}">
              <a16:creationId xmlns:a16="http://schemas.microsoft.com/office/drawing/2014/main" id="{09BA3C36-C171-4089-AF36-0273891D6566}"/>
            </a:ext>
          </a:extLst>
        </xdr:cNvPr>
        <xdr:cNvSpPr txBox="1"/>
      </xdr:nvSpPr>
      <xdr:spPr>
        <a:xfrm>
          <a:off x="7325785" y="1758950"/>
          <a:ext cx="1246623" cy="2398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000" b="0">
              <a:latin typeface="Arial" panose="020B0604020202020204" pitchFamily="34" charset="0"/>
              <a:cs typeface="Arial" panose="020B0604020202020204" pitchFamily="34" charset="0"/>
            </a:rPr>
            <a:t>Antenna Mismatch</a:t>
          </a:r>
        </a:p>
      </xdr:txBody>
    </xdr:sp>
    <xdr:clientData/>
  </xdr:oneCellAnchor>
  <xdr:twoCellAnchor>
    <xdr:from>
      <xdr:col>5</xdr:col>
      <xdr:colOff>184149</xdr:colOff>
      <xdr:row>9</xdr:row>
      <xdr:rowOff>92079</xdr:rowOff>
    </xdr:from>
    <xdr:to>
      <xdr:col>5</xdr:col>
      <xdr:colOff>464608</xdr:colOff>
      <xdr:row>14</xdr:row>
      <xdr:rowOff>25826</xdr:rowOff>
    </xdr:to>
    <xdr:grpSp>
      <xdr:nvGrpSpPr>
        <xdr:cNvPr id="29" name="Group 28">
          <a:extLst>
            <a:ext uri="{FF2B5EF4-FFF2-40B4-BE49-F238E27FC236}">
              <a16:creationId xmlns:a16="http://schemas.microsoft.com/office/drawing/2014/main" id="{F08FF56B-32B2-4D8A-B3FA-1140DE865044}"/>
            </a:ext>
          </a:extLst>
        </xdr:cNvPr>
        <xdr:cNvGrpSpPr/>
      </xdr:nvGrpSpPr>
      <xdr:grpSpPr>
        <a:xfrm>
          <a:off x="4332816" y="1674287"/>
          <a:ext cx="280459" cy="727497"/>
          <a:chOff x="3803650" y="1643592"/>
          <a:chExt cx="280459" cy="727497"/>
        </a:xfrm>
      </xdr:grpSpPr>
      <xdr:sp macro="" textlink="">
        <xdr:nvSpPr>
          <xdr:cNvPr id="30" name="Rectangle 1">
            <a:extLst>
              <a:ext uri="{FF2B5EF4-FFF2-40B4-BE49-F238E27FC236}">
                <a16:creationId xmlns:a16="http://schemas.microsoft.com/office/drawing/2014/main" id="{33041F31-C766-41DF-A793-7E68D6B1D049}"/>
              </a:ext>
            </a:extLst>
          </xdr:cNvPr>
          <xdr:cNvSpPr>
            <a:spLocks noChangeArrowheads="1"/>
          </xdr:cNvSpPr>
        </xdr:nvSpPr>
        <xdr:spPr bwMode="auto">
          <a:xfrm>
            <a:off x="3851276" y="1843616"/>
            <a:ext cx="232833" cy="267759"/>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endParaRPr lang="en-US" sz="1000" b="1" i="0" strike="noStrike">
              <a:solidFill>
                <a:srgbClr val="000000"/>
              </a:solidFill>
              <a:latin typeface="Arial"/>
              <a:cs typeface="Arial"/>
            </a:endParaRPr>
          </a:p>
        </xdr:txBody>
      </xdr:sp>
      <xdr:sp macro="" textlink="">
        <xdr:nvSpPr>
          <xdr:cNvPr id="31" name="Line 7">
            <a:extLst>
              <a:ext uri="{FF2B5EF4-FFF2-40B4-BE49-F238E27FC236}">
                <a16:creationId xmlns:a16="http://schemas.microsoft.com/office/drawing/2014/main" id="{CDDAA937-842D-43C0-89B5-39896C99BA5F}"/>
              </a:ext>
            </a:extLst>
          </xdr:cNvPr>
          <xdr:cNvSpPr>
            <a:spLocks noChangeShapeType="1"/>
          </xdr:cNvSpPr>
        </xdr:nvSpPr>
        <xdr:spPr bwMode="auto">
          <a:xfrm>
            <a:off x="3971925" y="1643592"/>
            <a:ext cx="0" cy="640080"/>
          </a:xfrm>
          <a:prstGeom prst="line">
            <a:avLst/>
          </a:prstGeom>
          <a:ln w="19050" cap="flat" cmpd="sng" algn="ctr">
            <a:solidFill>
              <a:schemeClr val="dk1"/>
            </a:solidFill>
            <a:prstDash val="sysDash"/>
            <a:round/>
            <a:headEnd type="none" w="med" len="med"/>
            <a:tailEnd type="none" w="med" len="med"/>
          </a:ln>
        </xdr:spPr>
        <xdr:style>
          <a:lnRef idx="0">
            <a:scrgbClr r="0" g="0" b="0"/>
          </a:lnRef>
          <a:fillRef idx="0">
            <a:scrgbClr r="0" g="0" b="0"/>
          </a:fillRef>
          <a:effectRef idx="0">
            <a:scrgbClr r="0" g="0" b="0"/>
          </a:effectRef>
          <a:fontRef idx="minor">
            <a:schemeClr val="tx1"/>
          </a:fontRef>
        </xdr:style>
      </xdr:sp>
      <xdr:sp macro="" textlink="">
        <xdr:nvSpPr>
          <xdr:cNvPr id="32" name="Line 8">
            <a:extLst>
              <a:ext uri="{FF2B5EF4-FFF2-40B4-BE49-F238E27FC236}">
                <a16:creationId xmlns:a16="http://schemas.microsoft.com/office/drawing/2014/main" id="{6A72C845-D4BC-4226-812C-E636F05B85F2}"/>
              </a:ext>
            </a:extLst>
          </xdr:cNvPr>
          <xdr:cNvSpPr>
            <a:spLocks noChangeShapeType="1"/>
          </xdr:cNvSpPr>
        </xdr:nvSpPr>
        <xdr:spPr bwMode="auto">
          <a:xfrm>
            <a:off x="3881966" y="2279649"/>
            <a:ext cx="18288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txBody>
          <a:bodyPr/>
          <a:lstStyle/>
          <a:p>
            <a:endParaRPr lang="en-US"/>
          </a:p>
        </xdr:txBody>
      </xdr:sp>
      <xdr:sp macro="" textlink="">
        <xdr:nvSpPr>
          <xdr:cNvPr id="33" name="Line 8">
            <a:extLst>
              <a:ext uri="{FF2B5EF4-FFF2-40B4-BE49-F238E27FC236}">
                <a16:creationId xmlns:a16="http://schemas.microsoft.com/office/drawing/2014/main" id="{0D07527D-30D5-4AD4-9626-303387CBEC9A}"/>
              </a:ext>
            </a:extLst>
          </xdr:cNvPr>
          <xdr:cNvSpPr>
            <a:spLocks noChangeShapeType="1"/>
          </xdr:cNvSpPr>
        </xdr:nvSpPr>
        <xdr:spPr bwMode="auto">
          <a:xfrm flipH="1">
            <a:off x="3803650" y="2279649"/>
            <a:ext cx="91440" cy="9144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txBody>
          <a:bodyPr/>
          <a:lstStyle/>
          <a:p>
            <a:endParaRPr lang="en-US"/>
          </a:p>
        </xdr:txBody>
      </xdr:sp>
      <xdr:sp macro="" textlink="">
        <xdr:nvSpPr>
          <xdr:cNvPr id="34" name="Line 8">
            <a:extLst>
              <a:ext uri="{FF2B5EF4-FFF2-40B4-BE49-F238E27FC236}">
                <a16:creationId xmlns:a16="http://schemas.microsoft.com/office/drawing/2014/main" id="{4610EC3C-248E-4092-9350-462B9E2AE969}"/>
              </a:ext>
            </a:extLst>
          </xdr:cNvPr>
          <xdr:cNvSpPr>
            <a:spLocks noChangeShapeType="1"/>
          </xdr:cNvSpPr>
        </xdr:nvSpPr>
        <xdr:spPr bwMode="auto">
          <a:xfrm flipH="1">
            <a:off x="3971925" y="2279649"/>
            <a:ext cx="91440" cy="9144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txBody>
          <a:bodyPr/>
          <a:lstStyle/>
          <a:p>
            <a:endParaRPr lang="en-US"/>
          </a:p>
        </xdr:txBody>
      </xdr:sp>
      <xdr:sp macro="" textlink="">
        <xdr:nvSpPr>
          <xdr:cNvPr id="35" name="Line 8">
            <a:extLst>
              <a:ext uri="{FF2B5EF4-FFF2-40B4-BE49-F238E27FC236}">
                <a16:creationId xmlns:a16="http://schemas.microsoft.com/office/drawing/2014/main" id="{22859683-285B-42A1-A050-7EB9A5448C07}"/>
              </a:ext>
            </a:extLst>
          </xdr:cNvPr>
          <xdr:cNvSpPr>
            <a:spLocks noChangeShapeType="1"/>
          </xdr:cNvSpPr>
        </xdr:nvSpPr>
        <xdr:spPr bwMode="auto">
          <a:xfrm flipH="1">
            <a:off x="3886200" y="2279649"/>
            <a:ext cx="91440" cy="9144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txBody>
          <a:bodyPr/>
          <a:lstStyle/>
          <a:p>
            <a:endParaRPr lang="en-US"/>
          </a:p>
        </xdr:txBody>
      </xdr:sp>
    </xdr:grpSp>
    <xdr:clientData/>
  </xdr:twoCellAnchor>
  <xdr:twoCellAnchor>
    <xdr:from>
      <xdr:col>3</xdr:col>
      <xdr:colOff>1095375</xdr:colOff>
      <xdr:row>10</xdr:row>
      <xdr:rowOff>42334</xdr:rowOff>
    </xdr:from>
    <xdr:to>
      <xdr:col>4</xdr:col>
      <xdr:colOff>186266</xdr:colOff>
      <xdr:row>12</xdr:row>
      <xdr:rowOff>152401</xdr:rowOff>
    </xdr:to>
    <xdr:sp macro="" textlink="">
      <xdr:nvSpPr>
        <xdr:cNvPr id="36" name="Rectangle 1">
          <a:extLst>
            <a:ext uri="{FF2B5EF4-FFF2-40B4-BE49-F238E27FC236}">
              <a16:creationId xmlns:a16="http://schemas.microsoft.com/office/drawing/2014/main" id="{36F21E1F-0F6A-4912-867D-AB6F5B30EDF1}"/>
            </a:ext>
          </a:extLst>
        </xdr:cNvPr>
        <xdr:cNvSpPr>
          <a:spLocks noChangeArrowheads="1"/>
        </xdr:cNvSpPr>
      </xdr:nvSpPr>
      <xdr:spPr bwMode="auto">
        <a:xfrm>
          <a:off x="2936875" y="1783292"/>
          <a:ext cx="731308" cy="427567"/>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baseline="0">
              <a:solidFill>
                <a:srgbClr val="000000"/>
              </a:solidFill>
              <a:latin typeface="Arial"/>
              <a:cs typeface="Arial"/>
            </a:rPr>
            <a:t>Switch</a:t>
          </a:r>
          <a:endParaRPr lang="en-US" sz="1000" b="1" i="0" strike="noStrike">
            <a:solidFill>
              <a:srgbClr val="000000"/>
            </a:solidFill>
            <a:latin typeface="Arial"/>
            <a:cs typeface="Arial"/>
          </a:endParaRPr>
        </a:p>
      </xdr:txBody>
    </xdr:sp>
    <xdr:clientData/>
  </xdr:twoCellAnchor>
  <xdr:oneCellAnchor>
    <xdr:from>
      <xdr:col>4</xdr:col>
      <xdr:colOff>283637</xdr:colOff>
      <xdr:row>10</xdr:row>
      <xdr:rowOff>45511</xdr:rowOff>
    </xdr:from>
    <xdr:ext cx="576568" cy="239809"/>
    <xdr:sp macro="" textlink="">
      <xdr:nvSpPr>
        <xdr:cNvPr id="37" name="TextBox 36">
          <a:extLst>
            <a:ext uri="{FF2B5EF4-FFF2-40B4-BE49-F238E27FC236}">
              <a16:creationId xmlns:a16="http://schemas.microsoft.com/office/drawing/2014/main" id="{476AACA0-5F8B-47F6-83B6-764366DC1FDA}"/>
            </a:ext>
          </a:extLst>
        </xdr:cNvPr>
        <xdr:cNvSpPr txBox="1"/>
      </xdr:nvSpPr>
      <xdr:spPr>
        <a:xfrm>
          <a:off x="3765554" y="1786469"/>
          <a:ext cx="576568" cy="2398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000" b="1">
              <a:latin typeface="Arial" panose="020B0604020202020204" pitchFamily="34" charset="0"/>
              <a:cs typeface="Arial" panose="020B0604020202020204" pitchFamily="34" charset="0"/>
            </a:rPr>
            <a:t>Line B</a:t>
          </a:r>
        </a:p>
      </xdr:txBody>
    </xdr:sp>
    <xdr:clientData/>
  </xdr:oneCellAnchor>
  <xdr:twoCellAnchor>
    <xdr:from>
      <xdr:col>7</xdr:col>
      <xdr:colOff>115359</xdr:colOff>
      <xdr:row>10</xdr:row>
      <xdr:rowOff>51858</xdr:rowOff>
    </xdr:from>
    <xdr:to>
      <xdr:col>8</xdr:col>
      <xdr:colOff>232833</xdr:colOff>
      <xdr:row>13</xdr:row>
      <xdr:rowOff>3175</xdr:rowOff>
    </xdr:to>
    <xdr:sp macro="" textlink="">
      <xdr:nvSpPr>
        <xdr:cNvPr id="38" name="Rectangle 1">
          <a:extLst>
            <a:ext uri="{FF2B5EF4-FFF2-40B4-BE49-F238E27FC236}">
              <a16:creationId xmlns:a16="http://schemas.microsoft.com/office/drawing/2014/main" id="{15C65E48-7AD7-44DC-8897-0DE9A738C32B}"/>
            </a:ext>
          </a:extLst>
        </xdr:cNvPr>
        <xdr:cNvSpPr>
          <a:spLocks noChangeArrowheads="1"/>
        </xdr:cNvSpPr>
      </xdr:nvSpPr>
      <xdr:spPr bwMode="auto">
        <a:xfrm>
          <a:off x="5555192" y="1792816"/>
          <a:ext cx="731308" cy="427567"/>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baseline="0">
              <a:solidFill>
                <a:srgbClr val="000000"/>
              </a:solidFill>
              <a:latin typeface="Arial"/>
              <a:cs typeface="Arial"/>
            </a:rPr>
            <a:t>LNA</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(passthru)</a:t>
          </a:r>
          <a:endParaRPr lang="en-US" sz="1000" b="1" i="0" strike="noStrike">
            <a:solidFill>
              <a:srgbClr val="000000"/>
            </a:solidFill>
            <a:latin typeface="Arial"/>
            <a:cs typeface="Arial"/>
          </a:endParaRPr>
        </a:p>
      </xdr:txBody>
    </xdr:sp>
    <xdr:clientData/>
  </xdr:twoCellAnchor>
  <xdr:oneCellAnchor>
    <xdr:from>
      <xdr:col>5</xdr:col>
      <xdr:colOff>637121</xdr:colOff>
      <xdr:row>10</xdr:row>
      <xdr:rowOff>44453</xdr:rowOff>
    </xdr:from>
    <xdr:ext cx="576568" cy="239809"/>
    <xdr:sp macro="" textlink="">
      <xdr:nvSpPr>
        <xdr:cNvPr id="39" name="TextBox 38">
          <a:extLst>
            <a:ext uri="{FF2B5EF4-FFF2-40B4-BE49-F238E27FC236}">
              <a16:creationId xmlns:a16="http://schemas.microsoft.com/office/drawing/2014/main" id="{E219BD5F-43BB-4493-9409-372C7BC0EB43}"/>
            </a:ext>
          </a:extLst>
        </xdr:cNvPr>
        <xdr:cNvSpPr txBox="1"/>
      </xdr:nvSpPr>
      <xdr:spPr>
        <a:xfrm>
          <a:off x="4785788" y="1785411"/>
          <a:ext cx="576568" cy="2398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000" b="1">
              <a:latin typeface="Arial" panose="020B0604020202020204" pitchFamily="34" charset="0"/>
              <a:cs typeface="Arial" panose="020B0604020202020204" pitchFamily="34" charset="0"/>
            </a:rPr>
            <a:t>Line C</a:t>
          </a:r>
        </a:p>
      </xdr:txBody>
    </xdr:sp>
    <xdr:clientData/>
  </xdr:oneCellAnchor>
  <xdr:oneCellAnchor>
    <xdr:from>
      <xdr:col>8</xdr:col>
      <xdr:colOff>382063</xdr:colOff>
      <xdr:row>10</xdr:row>
      <xdr:rowOff>43393</xdr:rowOff>
    </xdr:from>
    <xdr:ext cx="576568" cy="239809"/>
    <xdr:sp macro="" textlink="">
      <xdr:nvSpPr>
        <xdr:cNvPr id="41" name="TextBox 40">
          <a:extLst>
            <a:ext uri="{FF2B5EF4-FFF2-40B4-BE49-F238E27FC236}">
              <a16:creationId xmlns:a16="http://schemas.microsoft.com/office/drawing/2014/main" id="{C3741FDE-7FDF-4CF0-BE80-347B103C7D89}"/>
            </a:ext>
          </a:extLst>
        </xdr:cNvPr>
        <xdr:cNvSpPr txBox="1"/>
      </xdr:nvSpPr>
      <xdr:spPr>
        <a:xfrm>
          <a:off x="6435730" y="1784351"/>
          <a:ext cx="576568" cy="2398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000" b="1">
              <a:latin typeface="Arial" panose="020B0604020202020204" pitchFamily="34" charset="0"/>
              <a:cs typeface="Arial" panose="020B0604020202020204" pitchFamily="34" charset="0"/>
            </a:rPr>
            <a:t>Line D</a:t>
          </a:r>
        </a:p>
      </xdr:txBody>
    </xdr:sp>
    <xdr:clientData/>
  </xdr:oneCellAnchor>
  <xdr:twoCellAnchor>
    <xdr:from>
      <xdr:col>8</xdr:col>
      <xdr:colOff>215898</xdr:colOff>
      <xdr:row>51</xdr:row>
      <xdr:rowOff>109008</xdr:rowOff>
    </xdr:from>
    <xdr:to>
      <xdr:col>9</xdr:col>
      <xdr:colOff>37041</xdr:colOff>
      <xdr:row>54</xdr:row>
      <xdr:rowOff>52917</xdr:rowOff>
    </xdr:to>
    <xdr:sp macro="" textlink="">
      <xdr:nvSpPr>
        <xdr:cNvPr id="42" name="AutoShape 6">
          <a:extLst>
            <a:ext uri="{FF2B5EF4-FFF2-40B4-BE49-F238E27FC236}">
              <a16:creationId xmlns:a16="http://schemas.microsoft.com/office/drawing/2014/main" id="{E64A0FD9-BBAF-49F9-B341-A32196FEC17C}"/>
            </a:ext>
          </a:extLst>
        </xdr:cNvPr>
        <xdr:cNvSpPr>
          <a:spLocks noChangeArrowheads="1"/>
        </xdr:cNvSpPr>
      </xdr:nvSpPr>
      <xdr:spPr bwMode="auto">
        <a:xfrm rot="10800000">
          <a:off x="6273798" y="8090958"/>
          <a:ext cx="557743" cy="420159"/>
        </a:xfrm>
        <a:prstGeom prst="triangle">
          <a:avLst>
            <a:gd name="adj" fmla="val 50000"/>
          </a:avLst>
        </a:prstGeom>
        <a:solidFill>
          <a:srgbClr val="FFFFFF"/>
        </a:solidFill>
        <a:ln w="19050">
          <a:solidFill>
            <a:srgbClr val="000000"/>
          </a:solidFill>
          <a:miter lim="800000"/>
          <a:headEnd/>
          <a:tailEnd/>
        </a:ln>
      </xdr:spPr>
    </xdr:sp>
    <xdr:clientData/>
  </xdr:twoCellAnchor>
  <xdr:twoCellAnchor>
    <xdr:from>
      <xdr:col>8</xdr:col>
      <xdr:colOff>498474</xdr:colOff>
      <xdr:row>51</xdr:row>
      <xdr:rowOff>112183</xdr:rowOff>
    </xdr:from>
    <xdr:to>
      <xdr:col>8</xdr:col>
      <xdr:colOff>498474</xdr:colOff>
      <xdr:row>55</xdr:row>
      <xdr:rowOff>94192</xdr:rowOff>
    </xdr:to>
    <xdr:sp macro="" textlink="">
      <xdr:nvSpPr>
        <xdr:cNvPr id="43" name="Line 7">
          <a:extLst>
            <a:ext uri="{FF2B5EF4-FFF2-40B4-BE49-F238E27FC236}">
              <a16:creationId xmlns:a16="http://schemas.microsoft.com/office/drawing/2014/main" id="{6A1F6F23-C75B-4236-A624-F1F36E1945BE}"/>
            </a:ext>
          </a:extLst>
        </xdr:cNvPr>
        <xdr:cNvSpPr>
          <a:spLocks noChangeShapeType="1"/>
        </xdr:cNvSpPr>
      </xdr:nvSpPr>
      <xdr:spPr bwMode="auto">
        <a:xfrm>
          <a:off x="6556374" y="8094133"/>
          <a:ext cx="0" cy="617009"/>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1062566</xdr:colOff>
      <xdr:row>55</xdr:row>
      <xdr:rowOff>99483</xdr:rowOff>
    </xdr:from>
    <xdr:to>
      <xdr:col>8</xdr:col>
      <xdr:colOff>507999</xdr:colOff>
      <xdr:row>55</xdr:row>
      <xdr:rowOff>99483</xdr:rowOff>
    </xdr:to>
    <xdr:sp macro="" textlink="">
      <xdr:nvSpPr>
        <xdr:cNvPr id="44" name="Line 8">
          <a:extLst>
            <a:ext uri="{FF2B5EF4-FFF2-40B4-BE49-F238E27FC236}">
              <a16:creationId xmlns:a16="http://schemas.microsoft.com/office/drawing/2014/main" id="{501417AB-0E9F-4013-89DD-C167179217F9}"/>
            </a:ext>
          </a:extLst>
        </xdr:cNvPr>
        <xdr:cNvSpPr>
          <a:spLocks noChangeShapeType="1"/>
        </xdr:cNvSpPr>
      </xdr:nvSpPr>
      <xdr:spPr bwMode="auto">
        <a:xfrm flipV="1">
          <a:off x="2910416" y="8716433"/>
          <a:ext cx="3655483"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txBody>
        <a:bodyPr/>
        <a:lstStyle/>
        <a:p>
          <a:endParaRPr lang="en-US"/>
        </a:p>
      </xdr:txBody>
    </xdr:sp>
    <xdr:clientData/>
  </xdr:twoCellAnchor>
  <xdr:twoCellAnchor>
    <xdr:from>
      <xdr:col>3</xdr:col>
      <xdr:colOff>486831</xdr:colOff>
      <xdr:row>53</xdr:row>
      <xdr:rowOff>89963</xdr:rowOff>
    </xdr:from>
    <xdr:to>
      <xdr:col>3</xdr:col>
      <xdr:colOff>1083732</xdr:colOff>
      <xdr:row>57</xdr:row>
      <xdr:rowOff>110073</xdr:rowOff>
    </xdr:to>
    <xdr:sp macro="" textlink="">
      <xdr:nvSpPr>
        <xdr:cNvPr id="45" name="AutoShape 6">
          <a:extLst>
            <a:ext uri="{FF2B5EF4-FFF2-40B4-BE49-F238E27FC236}">
              <a16:creationId xmlns:a16="http://schemas.microsoft.com/office/drawing/2014/main" id="{4EE12B6B-139C-42E0-B962-7830D61C99FE}"/>
            </a:ext>
          </a:extLst>
        </xdr:cNvPr>
        <xdr:cNvSpPr>
          <a:spLocks noChangeArrowheads="1"/>
        </xdr:cNvSpPr>
      </xdr:nvSpPr>
      <xdr:spPr bwMode="auto">
        <a:xfrm rot="5400000">
          <a:off x="2305577" y="8418517"/>
          <a:ext cx="655110" cy="596901"/>
        </a:xfrm>
        <a:prstGeom prst="triangle">
          <a:avLst>
            <a:gd name="adj" fmla="val 50000"/>
          </a:avLst>
        </a:prstGeom>
        <a:solidFill>
          <a:srgbClr val="FFFFFF"/>
        </a:solidFill>
        <a:ln w="19050">
          <a:solidFill>
            <a:srgbClr val="000000"/>
          </a:solidFill>
          <a:miter lim="800000"/>
          <a:headEnd/>
          <a:tailEnd/>
        </a:ln>
      </xdr:spPr>
      <xdr:txBody>
        <a:bodyPr vert="vert270" anchor="ctr"/>
        <a:lstStyle/>
        <a:p>
          <a:pPr algn="r"/>
          <a:r>
            <a:rPr lang="en-US" sz="1050" b="1">
              <a:latin typeface="Arial" panose="020B0604020202020204" pitchFamily="34" charset="0"/>
              <a:cs typeface="Arial" panose="020B0604020202020204" pitchFamily="34" charset="0"/>
            </a:rPr>
            <a:t>PA</a:t>
          </a:r>
          <a:endParaRPr lang="en-US" b="1">
            <a:latin typeface="Arial" panose="020B0604020202020204" pitchFamily="34" charset="0"/>
            <a:cs typeface="Arial" panose="020B0604020202020204" pitchFamily="34" charset="0"/>
          </a:endParaRPr>
        </a:p>
      </xdr:txBody>
    </xdr:sp>
    <xdr:clientData/>
  </xdr:twoCellAnchor>
  <xdr:oneCellAnchor>
    <xdr:from>
      <xdr:col>8</xdr:col>
      <xdr:colOff>700617</xdr:colOff>
      <xdr:row>54</xdr:row>
      <xdr:rowOff>12701</xdr:rowOff>
    </xdr:from>
    <xdr:ext cx="1246623" cy="239809"/>
    <xdr:sp macro="" textlink="">
      <xdr:nvSpPr>
        <xdr:cNvPr id="46" name="TextBox 45">
          <a:extLst>
            <a:ext uri="{FF2B5EF4-FFF2-40B4-BE49-F238E27FC236}">
              <a16:creationId xmlns:a16="http://schemas.microsoft.com/office/drawing/2014/main" id="{EC7873C1-1E41-437B-A508-BCB1008245AF}"/>
            </a:ext>
          </a:extLst>
        </xdr:cNvPr>
        <xdr:cNvSpPr txBox="1"/>
      </xdr:nvSpPr>
      <xdr:spPr>
        <a:xfrm>
          <a:off x="6758517" y="8470901"/>
          <a:ext cx="1246623" cy="2398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000" b="0">
              <a:latin typeface="Arial" panose="020B0604020202020204" pitchFamily="34" charset="0"/>
              <a:cs typeface="Arial" panose="020B0604020202020204" pitchFamily="34" charset="0"/>
            </a:rPr>
            <a:t>Antenna Mismatch</a:t>
          </a:r>
        </a:p>
      </xdr:txBody>
    </xdr:sp>
    <xdr:clientData/>
  </xdr:oneCellAnchor>
  <xdr:twoCellAnchor>
    <xdr:from>
      <xdr:col>8</xdr:col>
      <xdr:colOff>697441</xdr:colOff>
      <xdr:row>54</xdr:row>
      <xdr:rowOff>9526</xdr:rowOff>
    </xdr:from>
    <xdr:to>
      <xdr:col>8</xdr:col>
      <xdr:colOff>697441</xdr:colOff>
      <xdr:row>55</xdr:row>
      <xdr:rowOff>104776</xdr:rowOff>
    </xdr:to>
    <xdr:sp macro="" textlink="">
      <xdr:nvSpPr>
        <xdr:cNvPr id="47" name="Line 25">
          <a:extLst>
            <a:ext uri="{FF2B5EF4-FFF2-40B4-BE49-F238E27FC236}">
              <a16:creationId xmlns:a16="http://schemas.microsoft.com/office/drawing/2014/main" id="{B49B06B0-80BB-45D7-AD2A-50F6A09A5C71}"/>
            </a:ext>
          </a:extLst>
        </xdr:cNvPr>
        <xdr:cNvSpPr>
          <a:spLocks noChangeShapeType="1"/>
        </xdr:cNvSpPr>
      </xdr:nvSpPr>
      <xdr:spPr bwMode="auto">
        <a:xfrm>
          <a:off x="6755341" y="8467726"/>
          <a:ext cx="0" cy="254000"/>
        </a:xfrm>
        <a:prstGeom prst="line">
          <a:avLst/>
        </a:prstGeom>
        <a:noFill/>
        <a:ln w="12700">
          <a:solidFill>
            <a:srgbClr val="FF0000"/>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1311276</xdr:colOff>
      <xdr:row>54</xdr:row>
      <xdr:rowOff>59266</xdr:rowOff>
    </xdr:from>
    <xdr:to>
      <xdr:col>4</xdr:col>
      <xdr:colOff>402167</xdr:colOff>
      <xdr:row>57</xdr:row>
      <xdr:rowOff>10583</xdr:rowOff>
    </xdr:to>
    <xdr:sp macro="" textlink="">
      <xdr:nvSpPr>
        <xdr:cNvPr id="48" name="Rectangle 1">
          <a:extLst>
            <a:ext uri="{FF2B5EF4-FFF2-40B4-BE49-F238E27FC236}">
              <a16:creationId xmlns:a16="http://schemas.microsoft.com/office/drawing/2014/main" id="{B79BEC81-3252-4D4B-A094-E84F797AB026}"/>
            </a:ext>
          </a:extLst>
        </xdr:cNvPr>
        <xdr:cNvSpPr>
          <a:spLocks noChangeArrowheads="1"/>
        </xdr:cNvSpPr>
      </xdr:nvSpPr>
      <xdr:spPr bwMode="auto">
        <a:xfrm>
          <a:off x="3159126" y="8517466"/>
          <a:ext cx="729191" cy="427567"/>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Dir.</a:t>
          </a:r>
          <a:r>
            <a:rPr lang="en-US" sz="1000" b="1" i="0" strike="noStrike" baseline="0">
              <a:solidFill>
                <a:srgbClr val="000000"/>
              </a:solidFill>
              <a:latin typeface="Arial"/>
              <a:cs typeface="Arial"/>
            </a:rPr>
            <a:t> Cpl.</a:t>
          </a:r>
          <a:endParaRPr lang="en-US" sz="1000" b="1" i="0" strike="noStrike">
            <a:solidFill>
              <a:srgbClr val="000000"/>
            </a:solidFill>
            <a:latin typeface="Arial"/>
            <a:cs typeface="Arial"/>
          </a:endParaRPr>
        </a:p>
      </xdr:txBody>
    </xdr:sp>
    <xdr:clientData/>
  </xdr:twoCellAnchor>
  <xdr:twoCellAnchor>
    <xdr:from>
      <xdr:col>5</xdr:col>
      <xdr:colOff>45508</xdr:colOff>
      <xdr:row>54</xdr:row>
      <xdr:rowOff>58207</xdr:rowOff>
    </xdr:from>
    <xdr:to>
      <xdr:col>6</xdr:col>
      <xdr:colOff>115358</xdr:colOff>
      <xdr:row>57</xdr:row>
      <xdr:rowOff>9524</xdr:rowOff>
    </xdr:to>
    <xdr:sp macro="" textlink="">
      <xdr:nvSpPr>
        <xdr:cNvPr id="49" name="Rectangle 1">
          <a:extLst>
            <a:ext uri="{FF2B5EF4-FFF2-40B4-BE49-F238E27FC236}">
              <a16:creationId xmlns:a16="http://schemas.microsoft.com/office/drawing/2014/main" id="{A155354A-5C1F-4144-BA4E-671AEA06804A}"/>
            </a:ext>
          </a:extLst>
        </xdr:cNvPr>
        <xdr:cNvSpPr>
          <a:spLocks noChangeArrowheads="1"/>
        </xdr:cNvSpPr>
      </xdr:nvSpPr>
      <xdr:spPr bwMode="auto">
        <a:xfrm>
          <a:off x="4198408" y="8516407"/>
          <a:ext cx="730250" cy="427567"/>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baseline="0">
              <a:solidFill>
                <a:srgbClr val="000000"/>
              </a:solidFill>
              <a:latin typeface="Arial"/>
              <a:cs typeface="Arial"/>
            </a:rPr>
            <a:t>Switch</a:t>
          </a:r>
          <a:endParaRPr lang="en-US" sz="1000" b="1" i="0" strike="noStrike">
            <a:solidFill>
              <a:srgbClr val="000000"/>
            </a:solidFill>
            <a:latin typeface="Arial"/>
            <a:cs typeface="Arial"/>
          </a:endParaRPr>
        </a:p>
      </xdr:txBody>
    </xdr:sp>
    <xdr:clientData/>
  </xdr:twoCellAnchor>
  <xdr:twoCellAnchor>
    <xdr:from>
      <xdr:col>6</xdr:col>
      <xdr:colOff>473075</xdr:colOff>
      <xdr:row>54</xdr:row>
      <xdr:rowOff>57149</xdr:rowOff>
    </xdr:from>
    <xdr:to>
      <xdr:col>8</xdr:col>
      <xdr:colOff>21166</xdr:colOff>
      <xdr:row>57</xdr:row>
      <xdr:rowOff>8466</xdr:rowOff>
    </xdr:to>
    <xdr:sp macro="" textlink="">
      <xdr:nvSpPr>
        <xdr:cNvPr id="50" name="Rectangle 1">
          <a:extLst>
            <a:ext uri="{FF2B5EF4-FFF2-40B4-BE49-F238E27FC236}">
              <a16:creationId xmlns:a16="http://schemas.microsoft.com/office/drawing/2014/main" id="{0E7BC315-ECAA-4D7A-A56E-52CFD67774C6}"/>
            </a:ext>
          </a:extLst>
        </xdr:cNvPr>
        <xdr:cNvSpPr>
          <a:spLocks noChangeArrowheads="1"/>
        </xdr:cNvSpPr>
      </xdr:nvSpPr>
      <xdr:spPr bwMode="auto">
        <a:xfrm>
          <a:off x="5286375" y="8515349"/>
          <a:ext cx="792691" cy="427567"/>
        </a:xfrm>
        <a:prstGeom prst="rect">
          <a:avLst/>
        </a:prstGeom>
        <a:solidFill>
          <a:srgbClr val="FFFFFF"/>
        </a:solidFill>
        <a:ln w="19050">
          <a:solidFill>
            <a:srgbClr val="000000"/>
          </a:solidFill>
          <a:miter lim="800000"/>
          <a:headEnd/>
          <a:tailEnd/>
        </a:ln>
      </xdr:spPr>
      <xdr:txBody>
        <a:bodyPr vertOverflow="clip" vert="horz" wrap="square" lIns="27432" tIns="22860" rIns="27432" bIns="0" anchor="ctr" upright="1"/>
        <a:lstStyle/>
        <a:p>
          <a:pPr algn="ctr" rtl="1">
            <a:defRPr sz="1000"/>
          </a:pPr>
          <a:r>
            <a:rPr lang="en-US" sz="1000" b="1" i="0" strike="noStrike" baseline="0">
              <a:solidFill>
                <a:srgbClr val="000000"/>
              </a:solidFill>
              <a:latin typeface="Arial"/>
              <a:cs typeface="Arial"/>
            </a:rPr>
            <a:t>Backplane</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&amp; Line A</a:t>
          </a:r>
          <a:endParaRPr lang="en-US" sz="1000" b="1" i="0" strike="noStrike">
            <a:solidFill>
              <a:srgbClr val="000000"/>
            </a:solidFill>
            <a:latin typeface="Arial"/>
            <a:cs typeface="Arial"/>
          </a:endParaRP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6</xdr:col>
      <xdr:colOff>336550</xdr:colOff>
      <xdr:row>18</xdr:row>
      <xdr:rowOff>0</xdr:rowOff>
    </xdr:from>
    <xdr:to>
      <xdr:col>6</xdr:col>
      <xdr:colOff>419100</xdr:colOff>
      <xdr:row>19</xdr:row>
      <xdr:rowOff>12700</xdr:rowOff>
    </xdr:to>
    <xdr:sp macro="" textlink="">
      <xdr:nvSpPr>
        <xdr:cNvPr id="569399" name="Text Box 24">
          <a:extLst>
            <a:ext uri="{FF2B5EF4-FFF2-40B4-BE49-F238E27FC236}">
              <a16:creationId xmlns:a16="http://schemas.microsoft.com/office/drawing/2014/main" id="{C54E391A-5DB1-43E4-89C1-0D050DDEAC39}"/>
            </a:ext>
          </a:extLst>
        </xdr:cNvPr>
        <xdr:cNvSpPr txBox="1">
          <a:spLocks noChangeArrowheads="1"/>
        </xdr:cNvSpPr>
      </xdr:nvSpPr>
      <xdr:spPr bwMode="auto">
        <a:xfrm>
          <a:off x="4032250" y="2978150"/>
          <a:ext cx="8255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10</xdr:col>
      <xdr:colOff>19050</xdr:colOff>
      <xdr:row>85</xdr:row>
      <xdr:rowOff>0</xdr:rowOff>
    </xdr:from>
    <xdr:to>
      <xdr:col>10</xdr:col>
      <xdr:colOff>394335</xdr:colOff>
      <xdr:row>87</xdr:row>
      <xdr:rowOff>39158</xdr:rowOff>
    </xdr:to>
    <xdr:sp macro="" textlink="">
      <xdr:nvSpPr>
        <xdr:cNvPr id="13371" name="Text Box 59">
          <a:extLst>
            <a:ext uri="{FF2B5EF4-FFF2-40B4-BE49-F238E27FC236}">
              <a16:creationId xmlns:a16="http://schemas.microsoft.com/office/drawing/2014/main" id="{859FBD3A-B59D-445A-96D5-51A6D6B0B1B6}"/>
            </a:ext>
          </a:extLst>
        </xdr:cNvPr>
        <xdr:cNvSpPr txBox="1">
          <a:spLocks noChangeArrowheads="1"/>
        </xdr:cNvSpPr>
      </xdr:nvSpPr>
      <xdr:spPr bwMode="auto">
        <a:xfrm>
          <a:off x="6505575" y="13916025"/>
          <a:ext cx="371475" cy="361950"/>
        </a:xfrm>
        <a:prstGeom prst="rect">
          <a:avLst/>
        </a:prstGeom>
        <a:noFill/>
        <a:ln w="9525">
          <a:noFill/>
          <a:miter lim="800000"/>
          <a:headEnd/>
          <a:tailEnd/>
        </a:ln>
      </xdr:spPr>
      <xdr:txBody>
        <a:bodyPr vertOverflow="clip" wrap="square" lIns="27432" tIns="22860" rIns="0" bIns="0" anchor="t" upright="1"/>
        <a:lstStyle/>
        <a:p>
          <a:pPr algn="l" rtl="1">
            <a:defRPr sz="1000"/>
          </a:pPr>
          <a:endParaRPr lang="en-US" sz="800" b="0" i="0" strike="noStrike">
            <a:solidFill>
              <a:srgbClr val="000000"/>
            </a:solidFill>
            <a:latin typeface="Arial"/>
            <a:cs typeface="Arial"/>
          </a:endParaRPr>
        </a:p>
        <a:p>
          <a:pPr algn="l" rtl="1">
            <a:defRPr sz="1000"/>
          </a:pPr>
          <a:endParaRPr lang="en-US" sz="800" b="0" i="0" strike="noStrike">
            <a:solidFill>
              <a:srgbClr val="000000"/>
            </a:solidFill>
            <a:latin typeface="Arial"/>
            <a:cs typeface="Arial"/>
          </a:endParaRPr>
        </a:p>
      </xdr:txBody>
    </xdr:sp>
    <xdr:clientData/>
  </xdr:twoCellAnchor>
  <xdr:twoCellAnchor editAs="oneCell">
    <xdr:from>
      <xdr:col>6</xdr:col>
      <xdr:colOff>336550</xdr:colOff>
      <xdr:row>89</xdr:row>
      <xdr:rowOff>0</xdr:rowOff>
    </xdr:from>
    <xdr:to>
      <xdr:col>6</xdr:col>
      <xdr:colOff>419100</xdr:colOff>
      <xdr:row>90</xdr:row>
      <xdr:rowOff>12700</xdr:rowOff>
    </xdr:to>
    <xdr:sp macro="" textlink="">
      <xdr:nvSpPr>
        <xdr:cNvPr id="569430" name="Text Box 60">
          <a:extLst>
            <a:ext uri="{FF2B5EF4-FFF2-40B4-BE49-F238E27FC236}">
              <a16:creationId xmlns:a16="http://schemas.microsoft.com/office/drawing/2014/main" id="{9F61C7F4-AD66-4079-9092-BC3B71C74D02}"/>
            </a:ext>
          </a:extLst>
        </xdr:cNvPr>
        <xdr:cNvSpPr txBox="1">
          <a:spLocks noChangeArrowheads="1"/>
        </xdr:cNvSpPr>
      </xdr:nvSpPr>
      <xdr:spPr bwMode="auto">
        <a:xfrm>
          <a:off x="4032250" y="14319250"/>
          <a:ext cx="8255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222250</xdr:colOff>
      <xdr:row>10</xdr:row>
      <xdr:rowOff>3173</xdr:rowOff>
    </xdr:from>
    <xdr:to>
      <xdr:col>3</xdr:col>
      <xdr:colOff>165101</xdr:colOff>
      <xdr:row>12</xdr:row>
      <xdr:rowOff>105831</xdr:rowOff>
    </xdr:to>
    <xdr:sp macro="" textlink="">
      <xdr:nvSpPr>
        <xdr:cNvPr id="86" name="AutoShape 6">
          <a:extLst>
            <a:ext uri="{FF2B5EF4-FFF2-40B4-BE49-F238E27FC236}">
              <a16:creationId xmlns:a16="http://schemas.microsoft.com/office/drawing/2014/main" id="{25B00F19-1990-474F-A721-A42BA6A910E1}"/>
            </a:ext>
          </a:extLst>
        </xdr:cNvPr>
        <xdr:cNvSpPr>
          <a:spLocks noChangeArrowheads="1"/>
        </xdr:cNvSpPr>
      </xdr:nvSpPr>
      <xdr:spPr bwMode="auto">
        <a:xfrm rot="10800000">
          <a:off x="1454150" y="1711323"/>
          <a:ext cx="558801" cy="420158"/>
        </a:xfrm>
        <a:prstGeom prst="triangle">
          <a:avLst>
            <a:gd name="adj" fmla="val 50000"/>
          </a:avLst>
        </a:prstGeom>
        <a:solidFill>
          <a:srgbClr val="FFFFFF"/>
        </a:solidFill>
        <a:ln w="19050">
          <a:solidFill>
            <a:srgbClr val="000000"/>
          </a:solidFill>
          <a:miter lim="800000"/>
          <a:headEnd/>
          <a:tailEnd/>
        </a:ln>
      </xdr:spPr>
    </xdr:sp>
    <xdr:clientData/>
  </xdr:twoCellAnchor>
  <xdr:twoCellAnchor>
    <xdr:from>
      <xdr:col>2</xdr:col>
      <xdr:colOff>502420</xdr:colOff>
      <xdr:row>10</xdr:row>
      <xdr:rowOff>6348</xdr:rowOff>
    </xdr:from>
    <xdr:to>
      <xdr:col>2</xdr:col>
      <xdr:colOff>502420</xdr:colOff>
      <xdr:row>14</xdr:row>
      <xdr:rowOff>102868</xdr:rowOff>
    </xdr:to>
    <xdr:sp macro="" textlink="">
      <xdr:nvSpPr>
        <xdr:cNvPr id="87" name="Line 7">
          <a:extLst>
            <a:ext uri="{FF2B5EF4-FFF2-40B4-BE49-F238E27FC236}">
              <a16:creationId xmlns:a16="http://schemas.microsoft.com/office/drawing/2014/main" id="{59707601-28E7-4404-BA06-E6BD95260183}"/>
            </a:ext>
          </a:extLst>
        </xdr:cNvPr>
        <xdr:cNvSpPr>
          <a:spLocks noChangeShapeType="1"/>
        </xdr:cNvSpPr>
      </xdr:nvSpPr>
      <xdr:spPr bwMode="auto">
        <a:xfrm>
          <a:off x="1734320" y="1714498"/>
          <a:ext cx="0" cy="73152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495010</xdr:colOff>
      <xdr:row>14</xdr:row>
      <xdr:rowOff>94189</xdr:rowOff>
    </xdr:from>
    <xdr:to>
      <xdr:col>10</xdr:col>
      <xdr:colOff>514060</xdr:colOff>
      <xdr:row>14</xdr:row>
      <xdr:rowOff>94189</xdr:rowOff>
    </xdr:to>
    <xdr:sp macro="" textlink="">
      <xdr:nvSpPr>
        <xdr:cNvPr id="88" name="Line 8">
          <a:extLst>
            <a:ext uri="{FF2B5EF4-FFF2-40B4-BE49-F238E27FC236}">
              <a16:creationId xmlns:a16="http://schemas.microsoft.com/office/drawing/2014/main" id="{BA3AE3B9-4E9B-423B-AD83-5771FD334045}"/>
            </a:ext>
          </a:extLst>
        </xdr:cNvPr>
        <xdr:cNvSpPr>
          <a:spLocks noChangeShapeType="1"/>
        </xdr:cNvSpPr>
      </xdr:nvSpPr>
      <xdr:spPr bwMode="auto">
        <a:xfrm flipV="1">
          <a:off x="1726910" y="2437339"/>
          <a:ext cx="548640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txBody>
        <a:bodyPr/>
        <a:lstStyle/>
        <a:p>
          <a:endParaRPr lang="en-US"/>
        </a:p>
      </xdr:txBody>
    </xdr:sp>
    <xdr:clientData/>
  </xdr:twoCellAnchor>
  <xdr:twoCellAnchor>
    <xdr:from>
      <xdr:col>7</xdr:col>
      <xdr:colOff>180682</xdr:colOff>
      <xdr:row>12</xdr:row>
      <xdr:rowOff>14819</xdr:rowOff>
    </xdr:from>
    <xdr:to>
      <xdr:col>8</xdr:col>
      <xdr:colOff>232540</xdr:colOff>
      <xdr:row>17</xdr:row>
      <xdr:rowOff>12701</xdr:rowOff>
    </xdr:to>
    <xdr:sp macro="" textlink="">
      <xdr:nvSpPr>
        <xdr:cNvPr id="89" name="AutoShape 6">
          <a:extLst>
            <a:ext uri="{FF2B5EF4-FFF2-40B4-BE49-F238E27FC236}">
              <a16:creationId xmlns:a16="http://schemas.microsoft.com/office/drawing/2014/main" id="{D1502403-8A1B-47BD-9013-93FF72E12580}"/>
            </a:ext>
          </a:extLst>
        </xdr:cNvPr>
        <xdr:cNvSpPr>
          <a:spLocks noChangeArrowheads="1"/>
        </xdr:cNvSpPr>
      </xdr:nvSpPr>
      <xdr:spPr bwMode="auto">
        <a:xfrm rot="5400000">
          <a:off x="4456878" y="2056873"/>
          <a:ext cx="791632" cy="750358"/>
        </a:xfrm>
        <a:prstGeom prst="triangle">
          <a:avLst>
            <a:gd name="adj" fmla="val 50000"/>
          </a:avLst>
        </a:prstGeom>
        <a:solidFill>
          <a:srgbClr val="FFFFFF"/>
        </a:solidFill>
        <a:ln w="19050">
          <a:solidFill>
            <a:srgbClr val="000000"/>
          </a:solidFill>
          <a:miter lim="800000"/>
          <a:headEnd/>
          <a:tailEnd/>
        </a:ln>
      </xdr:spPr>
      <xdr:txBody>
        <a:bodyPr vert="vert270" anchor="ctr"/>
        <a:lstStyle/>
        <a:p>
          <a:pPr algn="r"/>
          <a:r>
            <a:rPr lang="en-US" sz="1050" b="1">
              <a:latin typeface="Arial" panose="020B0604020202020204" pitchFamily="34" charset="0"/>
              <a:cs typeface="Arial" panose="020B0604020202020204" pitchFamily="34" charset="0"/>
            </a:rPr>
            <a:t>LNA</a:t>
          </a:r>
          <a:endParaRPr lang="en-US" b="1">
            <a:latin typeface="Arial" panose="020B0604020202020204" pitchFamily="34" charset="0"/>
            <a:cs typeface="Arial" panose="020B0604020202020204" pitchFamily="34" charset="0"/>
          </a:endParaRPr>
        </a:p>
      </xdr:txBody>
    </xdr:sp>
    <xdr:clientData/>
  </xdr:twoCellAnchor>
  <xdr:twoCellAnchor>
    <xdr:from>
      <xdr:col>3</xdr:col>
      <xdr:colOff>79086</xdr:colOff>
      <xdr:row>12</xdr:row>
      <xdr:rowOff>153454</xdr:rowOff>
    </xdr:from>
    <xdr:to>
      <xdr:col>4</xdr:col>
      <xdr:colOff>206084</xdr:colOff>
      <xdr:row>16</xdr:row>
      <xdr:rowOff>29631</xdr:rowOff>
    </xdr:to>
    <xdr:sp macro="" textlink="">
      <xdr:nvSpPr>
        <xdr:cNvPr id="90" name="Rectangle 1">
          <a:extLst>
            <a:ext uri="{FF2B5EF4-FFF2-40B4-BE49-F238E27FC236}">
              <a16:creationId xmlns:a16="http://schemas.microsoft.com/office/drawing/2014/main" id="{FFCEE39A-529F-49F1-963E-B80396884DDC}"/>
            </a:ext>
          </a:extLst>
        </xdr:cNvPr>
        <xdr:cNvSpPr>
          <a:spLocks noChangeArrowheads="1"/>
        </xdr:cNvSpPr>
      </xdr:nvSpPr>
      <xdr:spPr bwMode="auto">
        <a:xfrm>
          <a:off x="1926936" y="2179104"/>
          <a:ext cx="742948" cy="511177"/>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Backplane</a:t>
          </a:r>
          <a:br>
            <a:rPr lang="en-US" sz="1000" b="1" i="0" strike="noStrike">
              <a:solidFill>
                <a:srgbClr val="000000"/>
              </a:solidFill>
              <a:latin typeface="Arial"/>
              <a:cs typeface="Arial"/>
            </a:rPr>
          </a:br>
          <a:r>
            <a:rPr lang="en-US" sz="1000" b="1" i="0" strike="noStrike">
              <a:solidFill>
                <a:srgbClr val="000000"/>
              </a:solidFill>
              <a:latin typeface="Arial"/>
              <a:cs typeface="Arial"/>
            </a:rPr>
            <a:t>&amp; Line</a:t>
          </a:r>
          <a:r>
            <a:rPr lang="en-US" sz="1000" b="1" i="0" strike="noStrike" baseline="0">
              <a:solidFill>
                <a:srgbClr val="000000"/>
              </a:solidFill>
              <a:latin typeface="Arial"/>
              <a:cs typeface="Arial"/>
            </a:rPr>
            <a:t> A</a:t>
          </a:r>
          <a:endParaRPr lang="en-US" sz="1000" b="1" i="0" strike="noStrike">
            <a:solidFill>
              <a:srgbClr val="000000"/>
            </a:solidFill>
            <a:latin typeface="Arial"/>
            <a:cs typeface="Arial"/>
          </a:endParaRPr>
        </a:p>
      </xdr:txBody>
    </xdr:sp>
    <xdr:clientData/>
  </xdr:twoCellAnchor>
  <xdr:twoCellAnchor>
    <xdr:from>
      <xdr:col>6</xdr:col>
      <xdr:colOff>24053</xdr:colOff>
      <xdr:row>12</xdr:row>
      <xdr:rowOff>151337</xdr:rowOff>
    </xdr:from>
    <xdr:to>
      <xdr:col>6</xdr:col>
      <xdr:colOff>533108</xdr:colOff>
      <xdr:row>16</xdr:row>
      <xdr:rowOff>27514</xdr:rowOff>
    </xdr:to>
    <xdr:sp macro="" textlink="">
      <xdr:nvSpPr>
        <xdr:cNvPr id="91" name="Rectangle 1">
          <a:extLst>
            <a:ext uri="{FF2B5EF4-FFF2-40B4-BE49-F238E27FC236}">
              <a16:creationId xmlns:a16="http://schemas.microsoft.com/office/drawing/2014/main" id="{4C57A8A8-D7DC-4391-ACAD-6330D7FD002B}"/>
            </a:ext>
          </a:extLst>
        </xdr:cNvPr>
        <xdr:cNvSpPr>
          <a:spLocks noChangeArrowheads="1"/>
        </xdr:cNvSpPr>
      </xdr:nvSpPr>
      <xdr:spPr bwMode="auto">
        <a:xfrm>
          <a:off x="3719753" y="2176987"/>
          <a:ext cx="509055" cy="511177"/>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BPF</a:t>
          </a:r>
        </a:p>
      </xdr:txBody>
    </xdr:sp>
    <xdr:clientData/>
  </xdr:twoCellAnchor>
  <xdr:twoCellAnchor>
    <xdr:from>
      <xdr:col>8</xdr:col>
      <xdr:colOff>231485</xdr:colOff>
      <xdr:row>8</xdr:row>
      <xdr:rowOff>34924</xdr:rowOff>
    </xdr:from>
    <xdr:to>
      <xdr:col>8</xdr:col>
      <xdr:colOff>231485</xdr:colOff>
      <xdr:row>17</xdr:row>
      <xdr:rowOff>69214</xdr:rowOff>
    </xdr:to>
    <xdr:sp macro="" textlink="">
      <xdr:nvSpPr>
        <xdr:cNvPr id="92" name="Line 7">
          <a:extLst>
            <a:ext uri="{FF2B5EF4-FFF2-40B4-BE49-F238E27FC236}">
              <a16:creationId xmlns:a16="http://schemas.microsoft.com/office/drawing/2014/main" id="{9D71090D-422A-4907-9925-4B2050497682}"/>
            </a:ext>
          </a:extLst>
        </xdr:cNvPr>
        <xdr:cNvSpPr>
          <a:spLocks noChangeShapeType="1"/>
        </xdr:cNvSpPr>
      </xdr:nvSpPr>
      <xdr:spPr bwMode="auto">
        <a:xfrm>
          <a:off x="5241635" y="1425574"/>
          <a:ext cx="0" cy="1463040"/>
        </a:xfrm>
        <a:prstGeom prst="line">
          <a:avLst/>
        </a:prstGeom>
        <a:ln w="12700" cap="flat" cmpd="sng" algn="ctr">
          <a:solidFill>
            <a:schemeClr val="dk1"/>
          </a:solidFill>
          <a:prstDash val="lgDash"/>
          <a:round/>
          <a:headEnd type="none" w="med" len="med"/>
          <a:tailEnd type="none" w="med" len="med"/>
        </a:ln>
      </xdr:spPr>
      <xdr:style>
        <a:lnRef idx="0">
          <a:scrgbClr r="0" g="0" b="0"/>
        </a:lnRef>
        <a:fillRef idx="0">
          <a:scrgbClr r="0" g="0" b="0"/>
        </a:fillRef>
        <a:effectRef idx="0">
          <a:scrgbClr r="0" g="0" b="0"/>
        </a:effectRef>
        <a:fontRef idx="minor">
          <a:schemeClr val="tx1"/>
        </a:fontRef>
      </xdr:style>
    </xdr:sp>
    <xdr:clientData/>
  </xdr:twoCellAnchor>
  <xdr:oneCellAnchor>
    <xdr:from>
      <xdr:col>8</xdr:col>
      <xdr:colOff>209261</xdr:colOff>
      <xdr:row>8</xdr:row>
      <xdr:rowOff>6350</xdr:rowOff>
    </xdr:from>
    <xdr:ext cx="642997" cy="239809"/>
    <xdr:sp macro="" textlink="">
      <xdr:nvSpPr>
        <xdr:cNvPr id="93" name="TextBox 92">
          <a:extLst>
            <a:ext uri="{FF2B5EF4-FFF2-40B4-BE49-F238E27FC236}">
              <a16:creationId xmlns:a16="http://schemas.microsoft.com/office/drawing/2014/main" id="{E5B0E622-6524-4BED-B6FA-2CE91F19FD4A}"/>
            </a:ext>
          </a:extLst>
        </xdr:cNvPr>
        <xdr:cNvSpPr txBox="1"/>
      </xdr:nvSpPr>
      <xdr:spPr>
        <a:xfrm>
          <a:off x="5219411" y="1397000"/>
          <a:ext cx="642997" cy="2398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000" b="1">
              <a:latin typeface="Arial" panose="020B0604020202020204" pitchFamily="34" charset="0"/>
              <a:cs typeface="Arial" panose="020B0604020202020204" pitchFamily="34" charset="0"/>
            </a:rPr>
            <a:t>T</a:t>
          </a:r>
          <a:r>
            <a:rPr lang="en-US" sz="1000" b="1" baseline="-25000">
              <a:latin typeface="Arial" panose="020B0604020202020204" pitchFamily="34" charset="0"/>
              <a:cs typeface="Arial" panose="020B0604020202020204" pitchFamily="34" charset="0"/>
            </a:rPr>
            <a:t>ComRcvr</a:t>
          </a:r>
        </a:p>
      </xdr:txBody>
    </xdr:sp>
    <xdr:clientData/>
  </xdr:oneCellAnchor>
  <xdr:twoCellAnchor>
    <xdr:from>
      <xdr:col>8</xdr:col>
      <xdr:colOff>809334</xdr:colOff>
      <xdr:row>8</xdr:row>
      <xdr:rowOff>134408</xdr:rowOff>
    </xdr:from>
    <xdr:to>
      <xdr:col>9</xdr:col>
      <xdr:colOff>367374</xdr:colOff>
      <xdr:row>8</xdr:row>
      <xdr:rowOff>134408</xdr:rowOff>
    </xdr:to>
    <xdr:sp macro="" textlink="">
      <xdr:nvSpPr>
        <xdr:cNvPr id="94" name="Line 7">
          <a:extLst>
            <a:ext uri="{FF2B5EF4-FFF2-40B4-BE49-F238E27FC236}">
              <a16:creationId xmlns:a16="http://schemas.microsoft.com/office/drawing/2014/main" id="{D8F815BD-F013-4401-AC10-5699AB470430}"/>
            </a:ext>
          </a:extLst>
        </xdr:cNvPr>
        <xdr:cNvSpPr>
          <a:spLocks noChangeShapeType="1"/>
        </xdr:cNvSpPr>
      </xdr:nvSpPr>
      <xdr:spPr bwMode="auto">
        <a:xfrm>
          <a:off x="5819484" y="1525058"/>
          <a:ext cx="548640" cy="0"/>
        </a:xfrm>
        <a:prstGeom prst="line">
          <a:avLst/>
        </a:prstGeom>
        <a:ln w="12700" cap="flat" cmpd="sng" algn="ctr">
          <a:solidFill>
            <a:schemeClr val="dk1"/>
          </a:solidFill>
          <a:prstDash val="solid"/>
          <a:round/>
          <a:headEnd type="none" w="med" len="med"/>
          <a:tailEnd type="triangle" w="med" len="med"/>
        </a:ln>
      </xdr:spPr>
      <xdr:style>
        <a:lnRef idx="0">
          <a:scrgbClr r="0" g="0" b="0"/>
        </a:lnRef>
        <a:fillRef idx="0">
          <a:scrgbClr r="0" g="0" b="0"/>
        </a:fillRef>
        <a:effectRef idx="0">
          <a:scrgbClr r="0" g="0" b="0"/>
        </a:effectRef>
        <a:fontRef idx="minor">
          <a:schemeClr val="tx1"/>
        </a:fontRef>
      </xdr:style>
    </xdr:sp>
    <xdr:clientData/>
  </xdr:twoCellAnchor>
  <xdr:twoCellAnchor>
    <xdr:from>
      <xdr:col>9</xdr:col>
      <xdr:colOff>423046</xdr:colOff>
      <xdr:row>12</xdr:row>
      <xdr:rowOff>91010</xdr:rowOff>
    </xdr:from>
    <xdr:to>
      <xdr:col>11</xdr:col>
      <xdr:colOff>154226</xdr:colOff>
      <xdr:row>16</xdr:row>
      <xdr:rowOff>63498</xdr:rowOff>
    </xdr:to>
    <xdr:sp macro="" textlink="">
      <xdr:nvSpPr>
        <xdr:cNvPr id="95" name="Rectangle 1">
          <a:extLst>
            <a:ext uri="{FF2B5EF4-FFF2-40B4-BE49-F238E27FC236}">
              <a16:creationId xmlns:a16="http://schemas.microsoft.com/office/drawing/2014/main" id="{298647F0-28EF-42C8-B35F-56B78491BD2B}"/>
            </a:ext>
          </a:extLst>
        </xdr:cNvPr>
        <xdr:cNvSpPr>
          <a:spLocks noChangeArrowheads="1"/>
        </xdr:cNvSpPr>
      </xdr:nvSpPr>
      <xdr:spPr bwMode="auto">
        <a:xfrm>
          <a:off x="6423796" y="2116660"/>
          <a:ext cx="1045630" cy="607488"/>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Receiver</a:t>
          </a:r>
        </a:p>
      </xdr:txBody>
    </xdr:sp>
    <xdr:clientData/>
  </xdr:twoCellAnchor>
  <xdr:twoCellAnchor editAs="oneCell">
    <xdr:from>
      <xdr:col>6</xdr:col>
      <xdr:colOff>336550</xdr:colOff>
      <xdr:row>18</xdr:row>
      <xdr:rowOff>0</xdr:rowOff>
    </xdr:from>
    <xdr:to>
      <xdr:col>6</xdr:col>
      <xdr:colOff>419100</xdr:colOff>
      <xdr:row>19</xdr:row>
      <xdr:rowOff>12700</xdr:rowOff>
    </xdr:to>
    <xdr:sp macro="" textlink="">
      <xdr:nvSpPr>
        <xdr:cNvPr id="96" name="Text Box 24">
          <a:extLst>
            <a:ext uri="{FF2B5EF4-FFF2-40B4-BE49-F238E27FC236}">
              <a16:creationId xmlns:a16="http://schemas.microsoft.com/office/drawing/2014/main" id="{F48D1828-53C0-4A73-A1CD-84C09065A60F}"/>
            </a:ext>
          </a:extLst>
        </xdr:cNvPr>
        <xdr:cNvSpPr txBox="1">
          <a:spLocks noChangeArrowheads="1"/>
        </xdr:cNvSpPr>
      </xdr:nvSpPr>
      <xdr:spPr bwMode="auto">
        <a:xfrm>
          <a:off x="4032250" y="2978150"/>
          <a:ext cx="8255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xdr:col>
      <xdr:colOff>398703</xdr:colOff>
      <xdr:row>12</xdr:row>
      <xdr:rowOff>157687</xdr:rowOff>
    </xdr:from>
    <xdr:to>
      <xdr:col>5</xdr:col>
      <xdr:colOff>393700</xdr:colOff>
      <xdr:row>16</xdr:row>
      <xdr:rowOff>33864</xdr:rowOff>
    </xdr:to>
    <xdr:sp macro="" textlink="">
      <xdr:nvSpPr>
        <xdr:cNvPr id="97" name="Rectangle 1">
          <a:extLst>
            <a:ext uri="{FF2B5EF4-FFF2-40B4-BE49-F238E27FC236}">
              <a16:creationId xmlns:a16="http://schemas.microsoft.com/office/drawing/2014/main" id="{59D09CB5-DE50-4CB5-A975-A79BEF23C203}"/>
            </a:ext>
          </a:extLst>
        </xdr:cNvPr>
        <xdr:cNvSpPr>
          <a:spLocks noChangeArrowheads="1"/>
        </xdr:cNvSpPr>
      </xdr:nvSpPr>
      <xdr:spPr bwMode="auto">
        <a:xfrm>
          <a:off x="2862503" y="2183337"/>
          <a:ext cx="610947" cy="511177"/>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Switch</a:t>
          </a:r>
        </a:p>
      </xdr:txBody>
    </xdr:sp>
    <xdr:clientData/>
  </xdr:twoCellAnchor>
  <xdr:twoCellAnchor>
    <xdr:from>
      <xdr:col>18</xdr:col>
      <xdr:colOff>338667</xdr:colOff>
      <xdr:row>51</xdr:row>
      <xdr:rowOff>95250</xdr:rowOff>
    </xdr:from>
    <xdr:to>
      <xdr:col>18</xdr:col>
      <xdr:colOff>887307</xdr:colOff>
      <xdr:row>51</xdr:row>
      <xdr:rowOff>95250</xdr:rowOff>
    </xdr:to>
    <xdr:sp macro="" textlink="">
      <xdr:nvSpPr>
        <xdr:cNvPr id="107" name="Line 38">
          <a:extLst>
            <a:ext uri="{FF2B5EF4-FFF2-40B4-BE49-F238E27FC236}">
              <a16:creationId xmlns:a16="http://schemas.microsoft.com/office/drawing/2014/main" id="{0346B3FE-AACB-4AFF-BAB9-DF32BA54E258}"/>
            </a:ext>
          </a:extLst>
        </xdr:cNvPr>
        <xdr:cNvSpPr>
          <a:spLocks noChangeShapeType="1"/>
        </xdr:cNvSpPr>
      </xdr:nvSpPr>
      <xdr:spPr bwMode="auto">
        <a:xfrm>
          <a:off x="12289367" y="8166100"/>
          <a:ext cx="548640" cy="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20</xdr:col>
      <xdr:colOff>476250</xdr:colOff>
      <xdr:row>45</xdr:row>
      <xdr:rowOff>50800</xdr:rowOff>
    </xdr:from>
    <xdr:to>
      <xdr:col>21</xdr:col>
      <xdr:colOff>152400</xdr:colOff>
      <xdr:row>47</xdr:row>
      <xdr:rowOff>82550</xdr:rowOff>
    </xdr:to>
    <xdr:sp macro="" textlink="">
      <xdr:nvSpPr>
        <xdr:cNvPr id="108" name="Line 97">
          <a:extLst>
            <a:ext uri="{FF2B5EF4-FFF2-40B4-BE49-F238E27FC236}">
              <a16:creationId xmlns:a16="http://schemas.microsoft.com/office/drawing/2014/main" id="{67DB5FFC-3092-4885-A0CF-4E9D794960EC}"/>
            </a:ext>
          </a:extLst>
        </xdr:cNvPr>
        <xdr:cNvSpPr>
          <a:spLocks noChangeShapeType="1"/>
        </xdr:cNvSpPr>
      </xdr:nvSpPr>
      <xdr:spPr bwMode="auto">
        <a:xfrm flipV="1">
          <a:off x="13868400" y="7169150"/>
          <a:ext cx="565150" cy="34925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18</xdr:col>
      <xdr:colOff>284692</xdr:colOff>
      <xdr:row>54</xdr:row>
      <xdr:rowOff>83608</xdr:rowOff>
    </xdr:from>
    <xdr:to>
      <xdr:col>18</xdr:col>
      <xdr:colOff>833332</xdr:colOff>
      <xdr:row>54</xdr:row>
      <xdr:rowOff>83608</xdr:rowOff>
    </xdr:to>
    <xdr:sp macro="" textlink="">
      <xdr:nvSpPr>
        <xdr:cNvPr id="109" name="Line 38">
          <a:extLst>
            <a:ext uri="{FF2B5EF4-FFF2-40B4-BE49-F238E27FC236}">
              <a16:creationId xmlns:a16="http://schemas.microsoft.com/office/drawing/2014/main" id="{3A0A06D4-6642-490D-BB61-3D4D76EC47C2}"/>
            </a:ext>
          </a:extLst>
        </xdr:cNvPr>
        <xdr:cNvSpPr>
          <a:spLocks noChangeShapeType="1"/>
        </xdr:cNvSpPr>
      </xdr:nvSpPr>
      <xdr:spPr bwMode="auto">
        <a:xfrm>
          <a:off x="12235392" y="8630708"/>
          <a:ext cx="548640" cy="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13</xdr:col>
      <xdr:colOff>141806</xdr:colOff>
      <xdr:row>44</xdr:row>
      <xdr:rowOff>10584</xdr:rowOff>
    </xdr:from>
    <xdr:to>
      <xdr:col>13</xdr:col>
      <xdr:colOff>555625</xdr:colOff>
      <xdr:row>55</xdr:row>
      <xdr:rowOff>147108</xdr:rowOff>
    </xdr:to>
    <xdr:sp macro="" textlink="">
      <xdr:nvSpPr>
        <xdr:cNvPr id="114" name="AutoShape 39">
          <a:extLst>
            <a:ext uri="{FF2B5EF4-FFF2-40B4-BE49-F238E27FC236}">
              <a16:creationId xmlns:a16="http://schemas.microsoft.com/office/drawing/2014/main" id="{B9FA6913-DF0A-4FAA-BED5-F09168264C3E}"/>
            </a:ext>
          </a:extLst>
        </xdr:cNvPr>
        <xdr:cNvSpPr>
          <a:spLocks/>
        </xdr:cNvSpPr>
      </xdr:nvSpPr>
      <xdr:spPr bwMode="auto">
        <a:xfrm>
          <a:off x="8666681" y="7117292"/>
          <a:ext cx="413819" cy="1888066"/>
        </a:xfrm>
        <a:prstGeom prst="leftBrace">
          <a:avLst>
            <a:gd name="adj1" fmla="val 102774"/>
            <a:gd name="adj2" fmla="val 78265"/>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196854</xdr:colOff>
      <xdr:row>53</xdr:row>
      <xdr:rowOff>54237</xdr:rowOff>
    </xdr:from>
    <xdr:to>
      <xdr:col>13</xdr:col>
      <xdr:colOff>141807</xdr:colOff>
      <xdr:row>62</xdr:row>
      <xdr:rowOff>77257</xdr:rowOff>
    </xdr:to>
    <xdr:cxnSp macro="">
      <xdr:nvCxnSpPr>
        <xdr:cNvPr id="115" name="Connector: Curved 114">
          <a:extLst>
            <a:ext uri="{FF2B5EF4-FFF2-40B4-BE49-F238E27FC236}">
              <a16:creationId xmlns:a16="http://schemas.microsoft.com/office/drawing/2014/main" id="{79156847-1B2F-4518-99C5-E5853FE2F5D3}"/>
            </a:ext>
          </a:extLst>
        </xdr:cNvPr>
        <xdr:cNvCxnSpPr>
          <a:stCxn id="114" idx="1"/>
        </xdr:cNvCxnSpPr>
      </xdr:nvCxnSpPr>
      <xdr:spPr bwMode="auto">
        <a:xfrm rot="10800000" flipV="1">
          <a:off x="6880229" y="8594987"/>
          <a:ext cx="1786453" cy="1488812"/>
        </a:xfrm>
        <a:prstGeom prst="curvedConnector3">
          <a:avLst>
            <a:gd name="adj1" fmla="val 50000"/>
          </a:avLst>
        </a:prstGeom>
        <a:solidFill>
          <a:srgbClr val="FFFFFF"/>
        </a:solidFill>
        <a:ln w="9525" cap="flat" cmpd="sng" algn="ctr">
          <a:solidFill>
            <a:srgbClr val="000000"/>
          </a:solidFill>
          <a:prstDash val="solid"/>
          <a:round/>
          <a:headEnd type="none" w="med" len="med"/>
          <a:tailEnd type="triangle"/>
        </a:ln>
        <a:effectLst/>
      </xdr:spPr>
    </xdr:cxnSp>
    <xdr:clientData/>
  </xdr:twoCellAnchor>
  <xdr:twoCellAnchor>
    <xdr:from>
      <xdr:col>13</xdr:col>
      <xdr:colOff>220122</xdr:colOff>
      <xdr:row>58</xdr:row>
      <xdr:rowOff>26456</xdr:rowOff>
    </xdr:from>
    <xdr:to>
      <xdr:col>13</xdr:col>
      <xdr:colOff>531272</xdr:colOff>
      <xdr:row>72</xdr:row>
      <xdr:rowOff>178858</xdr:rowOff>
    </xdr:to>
    <xdr:sp macro="" textlink="">
      <xdr:nvSpPr>
        <xdr:cNvPr id="116" name="AutoShape 39">
          <a:extLst>
            <a:ext uri="{FF2B5EF4-FFF2-40B4-BE49-F238E27FC236}">
              <a16:creationId xmlns:a16="http://schemas.microsoft.com/office/drawing/2014/main" id="{428D01C1-822C-4107-B176-02C947D03D5F}"/>
            </a:ext>
          </a:extLst>
        </xdr:cNvPr>
        <xdr:cNvSpPr>
          <a:spLocks/>
        </xdr:cNvSpPr>
      </xdr:nvSpPr>
      <xdr:spPr bwMode="auto">
        <a:xfrm>
          <a:off x="8767222" y="9526056"/>
          <a:ext cx="311150" cy="2438402"/>
        </a:xfrm>
        <a:prstGeom prst="leftBrace">
          <a:avLst>
            <a:gd name="adj1" fmla="val 102774"/>
            <a:gd name="adj2" fmla="val 56563"/>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197897</xdr:colOff>
      <xdr:row>66</xdr:row>
      <xdr:rowOff>93358</xdr:rowOff>
    </xdr:from>
    <xdr:to>
      <xdr:col>13</xdr:col>
      <xdr:colOff>209538</xdr:colOff>
      <xdr:row>66</xdr:row>
      <xdr:rowOff>93358</xdr:rowOff>
    </xdr:to>
    <xdr:cxnSp macro="">
      <xdr:nvCxnSpPr>
        <xdr:cNvPr id="117" name="Straight Arrow Connector 116">
          <a:extLst>
            <a:ext uri="{FF2B5EF4-FFF2-40B4-BE49-F238E27FC236}">
              <a16:creationId xmlns:a16="http://schemas.microsoft.com/office/drawing/2014/main" id="{ADCA2B6F-C30B-4AEE-B3C2-DD55E5C7E72E}"/>
            </a:ext>
          </a:extLst>
        </xdr:cNvPr>
        <xdr:cNvCxnSpPr/>
      </xdr:nvCxnSpPr>
      <xdr:spPr bwMode="auto">
        <a:xfrm flipH="1">
          <a:off x="6897147" y="10901058"/>
          <a:ext cx="1859491" cy="0"/>
        </a:xfrm>
        <a:prstGeom prst="straightConnector1">
          <a:avLst/>
        </a:prstGeom>
        <a:solidFill>
          <a:srgbClr val="FFFFFF"/>
        </a:solidFill>
        <a:ln w="9525" cap="flat" cmpd="sng" algn="ctr">
          <a:solidFill>
            <a:srgbClr val="000000"/>
          </a:solidFill>
          <a:prstDash val="solid"/>
          <a:round/>
          <a:headEnd type="none" w="med" len="med"/>
          <a:tailEnd type="triangle"/>
        </a:ln>
        <a:effectLst/>
      </xdr:spPr>
    </xdr:cxnSp>
    <xdr:clientData/>
  </xdr:twoCellAnchor>
  <xdr:twoCellAnchor>
    <xdr:from>
      <xdr:col>8</xdr:col>
      <xdr:colOff>557453</xdr:colOff>
      <xdr:row>12</xdr:row>
      <xdr:rowOff>157687</xdr:rowOff>
    </xdr:from>
    <xdr:to>
      <xdr:col>9</xdr:col>
      <xdr:colOff>75908</xdr:colOff>
      <xdr:row>16</xdr:row>
      <xdr:rowOff>33864</xdr:rowOff>
    </xdr:to>
    <xdr:sp macro="" textlink="">
      <xdr:nvSpPr>
        <xdr:cNvPr id="118" name="Rectangle 1">
          <a:extLst>
            <a:ext uri="{FF2B5EF4-FFF2-40B4-BE49-F238E27FC236}">
              <a16:creationId xmlns:a16="http://schemas.microsoft.com/office/drawing/2014/main" id="{C350709F-9269-4999-B8B3-A527D13F6F47}"/>
            </a:ext>
          </a:extLst>
        </xdr:cNvPr>
        <xdr:cNvSpPr>
          <a:spLocks noChangeArrowheads="1"/>
        </xdr:cNvSpPr>
      </xdr:nvSpPr>
      <xdr:spPr bwMode="auto">
        <a:xfrm>
          <a:off x="5567603" y="2183337"/>
          <a:ext cx="509055" cy="511177"/>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SAW</a:t>
          </a:r>
        </a:p>
      </xdr:txBody>
    </xdr:sp>
    <xdr:clientData/>
  </xdr:twoCellAnchor>
  <xdr:twoCellAnchor editAs="oneCell">
    <xdr:from>
      <xdr:col>10</xdr:col>
      <xdr:colOff>19050</xdr:colOff>
      <xdr:row>85</xdr:row>
      <xdr:rowOff>0</xdr:rowOff>
    </xdr:from>
    <xdr:to>
      <xdr:col>10</xdr:col>
      <xdr:colOff>394335</xdr:colOff>
      <xdr:row>87</xdr:row>
      <xdr:rowOff>38100</xdr:rowOff>
    </xdr:to>
    <xdr:sp macro="" textlink="">
      <xdr:nvSpPr>
        <xdr:cNvPr id="119" name="Text Box 59">
          <a:extLst>
            <a:ext uri="{FF2B5EF4-FFF2-40B4-BE49-F238E27FC236}">
              <a16:creationId xmlns:a16="http://schemas.microsoft.com/office/drawing/2014/main" id="{456CE2A2-5B5A-4407-A3BB-CD02D1343E60}"/>
            </a:ext>
          </a:extLst>
        </xdr:cNvPr>
        <xdr:cNvSpPr txBox="1">
          <a:spLocks noChangeArrowheads="1"/>
        </xdr:cNvSpPr>
      </xdr:nvSpPr>
      <xdr:spPr bwMode="auto">
        <a:xfrm>
          <a:off x="6718300" y="13601700"/>
          <a:ext cx="375285" cy="355600"/>
        </a:xfrm>
        <a:prstGeom prst="rect">
          <a:avLst/>
        </a:prstGeom>
        <a:noFill/>
        <a:ln w="9525">
          <a:noFill/>
          <a:miter lim="800000"/>
          <a:headEnd/>
          <a:tailEnd/>
        </a:ln>
      </xdr:spPr>
      <xdr:txBody>
        <a:bodyPr vertOverflow="clip" wrap="square" lIns="27432" tIns="22860" rIns="0" bIns="0" anchor="t" upright="1"/>
        <a:lstStyle/>
        <a:p>
          <a:pPr algn="l" rtl="1">
            <a:defRPr sz="1000"/>
          </a:pPr>
          <a:endParaRPr lang="en-US" sz="800" b="0" i="0" strike="noStrike">
            <a:solidFill>
              <a:srgbClr val="000000"/>
            </a:solidFill>
            <a:latin typeface="Arial"/>
            <a:cs typeface="Arial"/>
          </a:endParaRPr>
        </a:p>
        <a:p>
          <a:pPr algn="l" rtl="1">
            <a:defRPr sz="1000"/>
          </a:pPr>
          <a:endParaRPr lang="en-US" sz="800" b="0" i="0" strike="noStrike">
            <a:solidFill>
              <a:srgbClr val="000000"/>
            </a:solidFill>
            <a:latin typeface="Arial"/>
            <a:cs typeface="Arial"/>
          </a:endParaRPr>
        </a:p>
      </xdr:txBody>
    </xdr:sp>
    <xdr:clientData/>
  </xdr:twoCellAnchor>
  <xdr:twoCellAnchor editAs="oneCell">
    <xdr:from>
      <xdr:col>6</xdr:col>
      <xdr:colOff>336550</xdr:colOff>
      <xdr:row>89</xdr:row>
      <xdr:rowOff>0</xdr:rowOff>
    </xdr:from>
    <xdr:to>
      <xdr:col>6</xdr:col>
      <xdr:colOff>419100</xdr:colOff>
      <xdr:row>90</xdr:row>
      <xdr:rowOff>12700</xdr:rowOff>
    </xdr:to>
    <xdr:sp macro="" textlink="">
      <xdr:nvSpPr>
        <xdr:cNvPr id="120" name="Text Box 60">
          <a:extLst>
            <a:ext uri="{FF2B5EF4-FFF2-40B4-BE49-F238E27FC236}">
              <a16:creationId xmlns:a16="http://schemas.microsoft.com/office/drawing/2014/main" id="{6CFCA96A-A3D3-42A0-A20A-910F2B870992}"/>
            </a:ext>
          </a:extLst>
        </xdr:cNvPr>
        <xdr:cNvSpPr txBox="1">
          <a:spLocks noChangeArrowheads="1"/>
        </xdr:cNvSpPr>
      </xdr:nvSpPr>
      <xdr:spPr bwMode="auto">
        <a:xfrm>
          <a:off x="4032250" y="14236700"/>
          <a:ext cx="8255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13</xdr:col>
      <xdr:colOff>131232</xdr:colOff>
      <xdr:row>112</xdr:row>
      <xdr:rowOff>153459</xdr:rowOff>
    </xdr:from>
    <xdr:to>
      <xdr:col>13</xdr:col>
      <xdr:colOff>576791</xdr:colOff>
      <xdr:row>135</xdr:row>
      <xdr:rowOff>142875</xdr:rowOff>
    </xdr:to>
    <xdr:sp macro="" textlink="">
      <xdr:nvSpPr>
        <xdr:cNvPr id="121" name="AutoShape 74">
          <a:extLst>
            <a:ext uri="{FF2B5EF4-FFF2-40B4-BE49-F238E27FC236}">
              <a16:creationId xmlns:a16="http://schemas.microsoft.com/office/drawing/2014/main" id="{D0349DEC-1446-431B-B045-63AD09C46E01}"/>
            </a:ext>
          </a:extLst>
        </xdr:cNvPr>
        <xdr:cNvSpPr>
          <a:spLocks/>
        </xdr:cNvSpPr>
      </xdr:nvSpPr>
      <xdr:spPr bwMode="auto">
        <a:xfrm>
          <a:off x="8678332" y="18047759"/>
          <a:ext cx="445559" cy="3659716"/>
        </a:xfrm>
        <a:prstGeom prst="leftBrace">
          <a:avLst>
            <a:gd name="adj1" fmla="val 54735"/>
            <a:gd name="adj2" fmla="val 72134"/>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191557</xdr:colOff>
      <xdr:row>129</xdr:row>
      <xdr:rowOff>95250</xdr:rowOff>
    </xdr:from>
    <xdr:to>
      <xdr:col>13</xdr:col>
      <xdr:colOff>95249</xdr:colOff>
      <xdr:row>129</xdr:row>
      <xdr:rowOff>95250</xdr:rowOff>
    </xdr:to>
    <xdr:sp macro="" textlink="">
      <xdr:nvSpPr>
        <xdr:cNvPr id="122" name="Line 75">
          <a:extLst>
            <a:ext uri="{FF2B5EF4-FFF2-40B4-BE49-F238E27FC236}">
              <a16:creationId xmlns:a16="http://schemas.microsoft.com/office/drawing/2014/main" id="{65D7A46C-22AB-4A45-AA7E-F7A076A68673}"/>
            </a:ext>
          </a:extLst>
        </xdr:cNvPr>
        <xdr:cNvSpPr>
          <a:spLocks noChangeShapeType="1"/>
        </xdr:cNvSpPr>
      </xdr:nvSpPr>
      <xdr:spPr bwMode="auto">
        <a:xfrm flipH="1">
          <a:off x="6890807" y="20694650"/>
          <a:ext cx="1751542"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10</xdr:col>
      <xdr:colOff>234950</xdr:colOff>
      <xdr:row>121</xdr:row>
      <xdr:rowOff>82550</xdr:rowOff>
    </xdr:from>
    <xdr:to>
      <xdr:col>11</xdr:col>
      <xdr:colOff>196850</xdr:colOff>
      <xdr:row>121</xdr:row>
      <xdr:rowOff>82550</xdr:rowOff>
    </xdr:to>
    <xdr:sp macro="" textlink="">
      <xdr:nvSpPr>
        <xdr:cNvPr id="123" name="Line 82">
          <a:extLst>
            <a:ext uri="{FF2B5EF4-FFF2-40B4-BE49-F238E27FC236}">
              <a16:creationId xmlns:a16="http://schemas.microsoft.com/office/drawing/2014/main" id="{6C0CBBA0-40A5-4F19-ABF2-C2D1D15E8458}"/>
            </a:ext>
          </a:extLst>
        </xdr:cNvPr>
        <xdr:cNvSpPr>
          <a:spLocks noChangeShapeType="1"/>
        </xdr:cNvSpPr>
      </xdr:nvSpPr>
      <xdr:spPr bwMode="auto">
        <a:xfrm flipH="1">
          <a:off x="6934200" y="19411950"/>
          <a:ext cx="5778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11</xdr:col>
      <xdr:colOff>196850</xdr:colOff>
      <xdr:row>121</xdr:row>
      <xdr:rowOff>82550</xdr:rowOff>
    </xdr:from>
    <xdr:to>
      <xdr:col>11</xdr:col>
      <xdr:colOff>196850</xdr:colOff>
      <xdr:row>123</xdr:row>
      <xdr:rowOff>82550</xdr:rowOff>
    </xdr:to>
    <xdr:sp macro="" textlink="">
      <xdr:nvSpPr>
        <xdr:cNvPr id="124" name="Line 83">
          <a:extLst>
            <a:ext uri="{FF2B5EF4-FFF2-40B4-BE49-F238E27FC236}">
              <a16:creationId xmlns:a16="http://schemas.microsoft.com/office/drawing/2014/main" id="{ACCCAFDA-6ED5-4A3A-8477-FFF4239A1ECC}"/>
            </a:ext>
          </a:extLst>
        </xdr:cNvPr>
        <xdr:cNvSpPr>
          <a:spLocks noChangeShapeType="1"/>
        </xdr:cNvSpPr>
      </xdr:nvSpPr>
      <xdr:spPr bwMode="auto">
        <a:xfrm>
          <a:off x="7512050" y="19411950"/>
          <a:ext cx="0" cy="3175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11</xdr:col>
      <xdr:colOff>12700</xdr:colOff>
      <xdr:row>123</xdr:row>
      <xdr:rowOff>82550</xdr:rowOff>
    </xdr:from>
    <xdr:to>
      <xdr:col>11</xdr:col>
      <xdr:colOff>209550</xdr:colOff>
      <xdr:row>123</xdr:row>
      <xdr:rowOff>82550</xdr:rowOff>
    </xdr:to>
    <xdr:sp macro="" textlink="">
      <xdr:nvSpPr>
        <xdr:cNvPr id="125" name="Line 84">
          <a:extLst>
            <a:ext uri="{FF2B5EF4-FFF2-40B4-BE49-F238E27FC236}">
              <a16:creationId xmlns:a16="http://schemas.microsoft.com/office/drawing/2014/main" id="{AFB41F4E-07D1-4064-B095-21C57196F2EA}"/>
            </a:ext>
          </a:extLst>
        </xdr:cNvPr>
        <xdr:cNvSpPr>
          <a:spLocks noChangeShapeType="1"/>
        </xdr:cNvSpPr>
      </xdr:nvSpPr>
      <xdr:spPr bwMode="auto">
        <a:xfrm flipH="1">
          <a:off x="7327900" y="19729450"/>
          <a:ext cx="1968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153460</xdr:colOff>
      <xdr:row>145</xdr:row>
      <xdr:rowOff>84667</xdr:rowOff>
    </xdr:from>
    <xdr:to>
      <xdr:col>13</xdr:col>
      <xdr:colOff>100542</xdr:colOff>
      <xdr:row>145</xdr:row>
      <xdr:rowOff>84667</xdr:rowOff>
    </xdr:to>
    <xdr:cxnSp macro="">
      <xdr:nvCxnSpPr>
        <xdr:cNvPr id="126" name="Straight Arrow Connector 125">
          <a:extLst>
            <a:ext uri="{FF2B5EF4-FFF2-40B4-BE49-F238E27FC236}">
              <a16:creationId xmlns:a16="http://schemas.microsoft.com/office/drawing/2014/main" id="{DFBF3AA5-ED45-43AF-A56C-7F73C6F5DCE7}"/>
            </a:ext>
          </a:extLst>
        </xdr:cNvPr>
        <xdr:cNvCxnSpPr/>
      </xdr:nvCxnSpPr>
      <xdr:spPr bwMode="auto">
        <a:xfrm flipH="1" flipV="1">
          <a:off x="6852710" y="23274867"/>
          <a:ext cx="1794932" cy="0"/>
        </a:xfrm>
        <a:prstGeom prst="straightConnector1">
          <a:avLst/>
        </a:prstGeom>
        <a:solidFill>
          <a:srgbClr val="FFFFFF"/>
        </a:solidFill>
        <a:ln w="9525" cap="flat" cmpd="sng" algn="ctr">
          <a:solidFill>
            <a:srgbClr val="000000"/>
          </a:solidFill>
          <a:prstDash val="solid"/>
          <a:round/>
          <a:headEnd type="none" w="med" len="med"/>
          <a:tailEnd type="triangle"/>
        </a:ln>
        <a:effectLst/>
      </xdr:spPr>
    </xdr:cxnSp>
    <xdr:clientData/>
  </xdr:twoCellAnchor>
  <xdr:twoCellAnchor>
    <xdr:from>
      <xdr:col>2</xdr:col>
      <xdr:colOff>112475</xdr:colOff>
      <xdr:row>81</xdr:row>
      <xdr:rowOff>58208</xdr:rowOff>
    </xdr:from>
    <xdr:to>
      <xdr:col>3</xdr:col>
      <xdr:colOff>55326</xdr:colOff>
      <xdr:row>85</xdr:row>
      <xdr:rowOff>157903</xdr:rowOff>
    </xdr:to>
    <xdr:grpSp>
      <xdr:nvGrpSpPr>
        <xdr:cNvPr id="2" name="Group 1">
          <a:extLst>
            <a:ext uri="{FF2B5EF4-FFF2-40B4-BE49-F238E27FC236}">
              <a16:creationId xmlns:a16="http://schemas.microsoft.com/office/drawing/2014/main" id="{460DE654-E597-485F-A357-A87BB766D05B}"/>
            </a:ext>
          </a:extLst>
        </xdr:cNvPr>
        <xdr:cNvGrpSpPr/>
      </xdr:nvGrpSpPr>
      <xdr:grpSpPr>
        <a:xfrm>
          <a:off x="1340142" y="13170958"/>
          <a:ext cx="556684" cy="734695"/>
          <a:chOff x="1953975" y="13202708"/>
          <a:chExt cx="556684" cy="734695"/>
        </a:xfrm>
      </xdr:grpSpPr>
      <xdr:sp macro="" textlink="">
        <xdr:nvSpPr>
          <xdr:cNvPr id="127" name="AutoShape 6">
            <a:extLst>
              <a:ext uri="{FF2B5EF4-FFF2-40B4-BE49-F238E27FC236}">
                <a16:creationId xmlns:a16="http://schemas.microsoft.com/office/drawing/2014/main" id="{94340B10-27B8-43DE-8CE9-367BA74CDA0F}"/>
              </a:ext>
            </a:extLst>
          </xdr:cNvPr>
          <xdr:cNvSpPr>
            <a:spLocks noChangeArrowheads="1"/>
          </xdr:cNvSpPr>
        </xdr:nvSpPr>
        <xdr:spPr bwMode="auto">
          <a:xfrm rot="10800000">
            <a:off x="1953975" y="13202708"/>
            <a:ext cx="556684" cy="420158"/>
          </a:xfrm>
          <a:prstGeom prst="triangle">
            <a:avLst>
              <a:gd name="adj" fmla="val 50000"/>
            </a:avLst>
          </a:prstGeom>
          <a:solidFill>
            <a:srgbClr val="FFFFFF"/>
          </a:solidFill>
          <a:ln w="19050">
            <a:solidFill>
              <a:srgbClr val="000000"/>
            </a:solidFill>
            <a:miter lim="800000"/>
            <a:headEnd/>
            <a:tailEnd/>
          </a:ln>
        </xdr:spPr>
      </xdr:sp>
      <xdr:sp macro="" textlink="">
        <xdr:nvSpPr>
          <xdr:cNvPr id="128" name="Line 7">
            <a:extLst>
              <a:ext uri="{FF2B5EF4-FFF2-40B4-BE49-F238E27FC236}">
                <a16:creationId xmlns:a16="http://schemas.microsoft.com/office/drawing/2014/main" id="{EA322FA2-58D0-4764-8A10-4F3BBB48B33C}"/>
              </a:ext>
            </a:extLst>
          </xdr:cNvPr>
          <xdr:cNvSpPr>
            <a:spLocks noChangeShapeType="1"/>
          </xdr:cNvSpPr>
        </xdr:nvSpPr>
        <xdr:spPr bwMode="auto">
          <a:xfrm>
            <a:off x="2234145" y="13205883"/>
            <a:ext cx="0" cy="73152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grpSp>
    <xdr:clientData/>
  </xdr:twoCellAnchor>
  <xdr:twoCellAnchor>
    <xdr:from>
      <xdr:col>2</xdr:col>
      <xdr:colOff>385235</xdr:colOff>
      <xdr:row>85</xdr:row>
      <xdr:rowOff>149224</xdr:rowOff>
    </xdr:from>
    <xdr:to>
      <xdr:col>11</xdr:col>
      <xdr:colOff>350734</xdr:colOff>
      <xdr:row>85</xdr:row>
      <xdr:rowOff>149224</xdr:rowOff>
    </xdr:to>
    <xdr:sp macro="" textlink="">
      <xdr:nvSpPr>
        <xdr:cNvPr id="129" name="Line 8">
          <a:extLst>
            <a:ext uri="{FF2B5EF4-FFF2-40B4-BE49-F238E27FC236}">
              <a16:creationId xmlns:a16="http://schemas.microsoft.com/office/drawing/2014/main" id="{435002B4-CCEC-4F8F-B9C9-4C9F85AE0BE7}"/>
            </a:ext>
          </a:extLst>
        </xdr:cNvPr>
        <xdr:cNvSpPr>
          <a:spLocks noChangeShapeType="1"/>
        </xdr:cNvSpPr>
      </xdr:nvSpPr>
      <xdr:spPr bwMode="auto">
        <a:xfrm flipV="1">
          <a:off x="1612902" y="13896974"/>
          <a:ext cx="603504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txBody>
        <a:bodyPr/>
        <a:lstStyle/>
        <a:p>
          <a:endParaRPr lang="en-US"/>
        </a:p>
      </xdr:txBody>
    </xdr:sp>
    <xdr:clientData/>
  </xdr:twoCellAnchor>
  <xdr:twoCellAnchor>
    <xdr:from>
      <xdr:col>4</xdr:col>
      <xdr:colOff>42334</xdr:colOff>
      <xdr:row>83</xdr:row>
      <xdr:rowOff>70913</xdr:rowOff>
    </xdr:from>
    <xdr:to>
      <xdr:col>5</xdr:col>
      <xdr:colOff>174624</xdr:colOff>
      <xdr:row>88</xdr:row>
      <xdr:rowOff>68795</xdr:rowOff>
    </xdr:to>
    <xdr:sp macro="" textlink="">
      <xdr:nvSpPr>
        <xdr:cNvPr id="130" name="AutoShape 6">
          <a:extLst>
            <a:ext uri="{FF2B5EF4-FFF2-40B4-BE49-F238E27FC236}">
              <a16:creationId xmlns:a16="http://schemas.microsoft.com/office/drawing/2014/main" id="{6A8A5983-D244-4108-888A-35DE0F10CEE3}"/>
            </a:ext>
          </a:extLst>
        </xdr:cNvPr>
        <xdr:cNvSpPr>
          <a:spLocks noChangeArrowheads="1"/>
        </xdr:cNvSpPr>
      </xdr:nvSpPr>
      <xdr:spPr bwMode="auto">
        <a:xfrm rot="5400000">
          <a:off x="2474913" y="13523917"/>
          <a:ext cx="791632" cy="746124"/>
        </a:xfrm>
        <a:prstGeom prst="triangle">
          <a:avLst>
            <a:gd name="adj" fmla="val 50000"/>
          </a:avLst>
        </a:prstGeom>
        <a:solidFill>
          <a:srgbClr val="FFFFFF"/>
        </a:solidFill>
        <a:ln w="19050">
          <a:solidFill>
            <a:srgbClr val="000000"/>
          </a:solidFill>
          <a:miter lim="800000"/>
          <a:headEnd/>
          <a:tailEnd/>
        </a:ln>
      </xdr:spPr>
      <xdr:txBody>
        <a:bodyPr vert="vert270" anchor="ctr"/>
        <a:lstStyle/>
        <a:p>
          <a:pPr algn="r"/>
          <a:r>
            <a:rPr lang="en-US" sz="1050" b="1">
              <a:latin typeface="Arial" panose="020B0604020202020204" pitchFamily="34" charset="0"/>
              <a:cs typeface="Arial" panose="020B0604020202020204" pitchFamily="34" charset="0"/>
            </a:rPr>
            <a:t>LNA</a:t>
          </a:r>
          <a:endParaRPr lang="en-US" b="1">
            <a:latin typeface="Arial" panose="020B0604020202020204" pitchFamily="34" charset="0"/>
            <a:cs typeface="Arial" panose="020B0604020202020204" pitchFamily="34" charset="0"/>
          </a:endParaRPr>
        </a:p>
      </xdr:txBody>
    </xdr:sp>
    <xdr:clientData/>
  </xdr:twoCellAnchor>
  <xdr:oneCellAnchor>
    <xdr:from>
      <xdr:col>2</xdr:col>
      <xdr:colOff>533403</xdr:colOff>
      <xdr:row>84</xdr:row>
      <xdr:rowOff>80434</xdr:rowOff>
    </xdr:from>
    <xdr:ext cx="576568" cy="239809"/>
    <xdr:sp macro="" textlink="">
      <xdr:nvSpPr>
        <xdr:cNvPr id="131" name="TextBox 130">
          <a:extLst>
            <a:ext uri="{FF2B5EF4-FFF2-40B4-BE49-F238E27FC236}">
              <a16:creationId xmlns:a16="http://schemas.microsoft.com/office/drawing/2014/main" id="{C8B78F66-4639-4DE5-9914-C83E23501508}"/>
            </a:ext>
          </a:extLst>
        </xdr:cNvPr>
        <xdr:cNvSpPr txBox="1"/>
      </xdr:nvSpPr>
      <xdr:spPr>
        <a:xfrm>
          <a:off x="1761070" y="13669434"/>
          <a:ext cx="576568" cy="2398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000" b="1">
              <a:latin typeface="Arial" panose="020B0604020202020204" pitchFamily="34" charset="0"/>
              <a:cs typeface="Arial" panose="020B0604020202020204" pitchFamily="34" charset="0"/>
            </a:rPr>
            <a:t>Line A</a:t>
          </a:r>
        </a:p>
      </xdr:txBody>
    </xdr:sp>
    <xdr:clientData/>
  </xdr:oneCellAnchor>
  <xdr:twoCellAnchor>
    <xdr:from>
      <xdr:col>13</xdr:col>
      <xdr:colOff>109007</xdr:colOff>
      <xdr:row>137</xdr:row>
      <xdr:rowOff>4234</xdr:rowOff>
    </xdr:from>
    <xdr:to>
      <xdr:col>13</xdr:col>
      <xdr:colOff>555625</xdr:colOff>
      <xdr:row>151</xdr:row>
      <xdr:rowOff>179918</xdr:rowOff>
    </xdr:to>
    <xdr:sp macro="" textlink="">
      <xdr:nvSpPr>
        <xdr:cNvPr id="132" name="AutoShape 74">
          <a:extLst>
            <a:ext uri="{FF2B5EF4-FFF2-40B4-BE49-F238E27FC236}">
              <a16:creationId xmlns:a16="http://schemas.microsoft.com/office/drawing/2014/main" id="{FFCBF303-0DFB-4F05-898C-3F4DEE5F0DF7}"/>
            </a:ext>
          </a:extLst>
        </xdr:cNvPr>
        <xdr:cNvSpPr>
          <a:spLocks/>
        </xdr:cNvSpPr>
      </xdr:nvSpPr>
      <xdr:spPr bwMode="auto">
        <a:xfrm>
          <a:off x="8656107" y="21886334"/>
          <a:ext cx="446618" cy="2461684"/>
        </a:xfrm>
        <a:prstGeom prst="leftBrace">
          <a:avLst>
            <a:gd name="adj1" fmla="val 54735"/>
            <a:gd name="adj2" fmla="val 56442"/>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7</xdr:col>
      <xdr:colOff>595845</xdr:colOff>
      <xdr:row>84</xdr:row>
      <xdr:rowOff>39156</xdr:rowOff>
    </xdr:from>
    <xdr:to>
      <xdr:col>8</xdr:col>
      <xdr:colOff>539750</xdr:colOff>
      <xdr:row>87</xdr:row>
      <xdr:rowOff>74083</xdr:rowOff>
    </xdr:to>
    <xdr:sp macro="" textlink="">
      <xdr:nvSpPr>
        <xdr:cNvPr id="133" name="Rectangle 1">
          <a:extLst>
            <a:ext uri="{FF2B5EF4-FFF2-40B4-BE49-F238E27FC236}">
              <a16:creationId xmlns:a16="http://schemas.microsoft.com/office/drawing/2014/main" id="{84868C35-8F58-44C3-AA76-ABC3EF7052DD}"/>
            </a:ext>
          </a:extLst>
        </xdr:cNvPr>
        <xdr:cNvSpPr>
          <a:spLocks noChangeArrowheads="1"/>
        </xdr:cNvSpPr>
      </xdr:nvSpPr>
      <xdr:spPr bwMode="auto">
        <a:xfrm>
          <a:off x="4892678" y="13628156"/>
          <a:ext cx="642405" cy="511177"/>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Switch</a:t>
          </a:r>
        </a:p>
      </xdr:txBody>
    </xdr:sp>
    <xdr:clientData/>
  </xdr:twoCellAnchor>
  <xdr:twoCellAnchor>
    <xdr:from>
      <xdr:col>8</xdr:col>
      <xdr:colOff>779997</xdr:colOff>
      <xdr:row>84</xdr:row>
      <xdr:rowOff>43390</xdr:rowOff>
    </xdr:from>
    <xdr:to>
      <xdr:col>9</xdr:col>
      <xdr:colOff>432860</xdr:colOff>
      <xdr:row>87</xdr:row>
      <xdr:rowOff>78317</xdr:rowOff>
    </xdr:to>
    <xdr:sp macro="" textlink="">
      <xdr:nvSpPr>
        <xdr:cNvPr id="134" name="Rectangle 1">
          <a:extLst>
            <a:ext uri="{FF2B5EF4-FFF2-40B4-BE49-F238E27FC236}">
              <a16:creationId xmlns:a16="http://schemas.microsoft.com/office/drawing/2014/main" id="{E6D2268D-F00B-4B50-B1E8-84C45FB8FB4C}"/>
            </a:ext>
          </a:extLst>
        </xdr:cNvPr>
        <xdr:cNvSpPr>
          <a:spLocks noChangeArrowheads="1"/>
        </xdr:cNvSpPr>
      </xdr:nvSpPr>
      <xdr:spPr bwMode="auto">
        <a:xfrm>
          <a:off x="5775330" y="13632390"/>
          <a:ext cx="642405" cy="511177"/>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BPF</a:t>
          </a:r>
        </a:p>
      </xdr:txBody>
    </xdr:sp>
    <xdr:clientData/>
  </xdr:twoCellAnchor>
  <xdr:twoCellAnchor>
    <xdr:from>
      <xdr:col>11</xdr:col>
      <xdr:colOff>191561</xdr:colOff>
      <xdr:row>84</xdr:row>
      <xdr:rowOff>47622</xdr:rowOff>
    </xdr:from>
    <xdr:to>
      <xdr:col>12</xdr:col>
      <xdr:colOff>322792</xdr:colOff>
      <xdr:row>87</xdr:row>
      <xdr:rowOff>82549</xdr:rowOff>
    </xdr:to>
    <xdr:sp macro="" textlink="">
      <xdr:nvSpPr>
        <xdr:cNvPr id="135" name="Rectangle 1">
          <a:extLst>
            <a:ext uri="{FF2B5EF4-FFF2-40B4-BE49-F238E27FC236}">
              <a16:creationId xmlns:a16="http://schemas.microsoft.com/office/drawing/2014/main" id="{1B5452BA-EF47-467E-AB40-FF966EC0FCBB}"/>
            </a:ext>
          </a:extLst>
        </xdr:cNvPr>
        <xdr:cNvSpPr>
          <a:spLocks noChangeArrowheads="1"/>
        </xdr:cNvSpPr>
      </xdr:nvSpPr>
      <xdr:spPr bwMode="auto">
        <a:xfrm>
          <a:off x="7488769" y="13636622"/>
          <a:ext cx="745065" cy="511177"/>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Receiver</a:t>
          </a:r>
        </a:p>
      </xdr:txBody>
    </xdr:sp>
    <xdr:clientData/>
  </xdr:twoCellAnchor>
  <xdr:twoCellAnchor>
    <xdr:from>
      <xdr:col>6</xdr:col>
      <xdr:colOff>527053</xdr:colOff>
      <xdr:row>79</xdr:row>
      <xdr:rowOff>89958</xdr:rowOff>
    </xdr:from>
    <xdr:to>
      <xdr:col>8</xdr:col>
      <xdr:colOff>363433</xdr:colOff>
      <xdr:row>88</xdr:row>
      <xdr:rowOff>151764</xdr:rowOff>
    </xdr:to>
    <xdr:grpSp>
      <xdr:nvGrpSpPr>
        <xdr:cNvPr id="4" name="Group 3">
          <a:extLst>
            <a:ext uri="{FF2B5EF4-FFF2-40B4-BE49-F238E27FC236}">
              <a16:creationId xmlns:a16="http://schemas.microsoft.com/office/drawing/2014/main" id="{3A20FAB7-3686-4711-A83A-C13941D61D2F}"/>
            </a:ext>
          </a:extLst>
        </xdr:cNvPr>
        <xdr:cNvGrpSpPr/>
      </xdr:nvGrpSpPr>
      <xdr:grpSpPr>
        <a:xfrm>
          <a:off x="4210053" y="12885208"/>
          <a:ext cx="1148713" cy="1490556"/>
          <a:chOff x="4823886" y="12916958"/>
          <a:chExt cx="1148713" cy="1490556"/>
        </a:xfrm>
      </xdr:grpSpPr>
      <xdr:sp macro="" textlink="">
        <xdr:nvSpPr>
          <xdr:cNvPr id="136" name="Line 7">
            <a:extLst>
              <a:ext uri="{FF2B5EF4-FFF2-40B4-BE49-F238E27FC236}">
                <a16:creationId xmlns:a16="http://schemas.microsoft.com/office/drawing/2014/main" id="{84D512F9-BAAC-4E57-A9C4-C2A20C58C94E}"/>
              </a:ext>
            </a:extLst>
          </xdr:cNvPr>
          <xdr:cNvSpPr>
            <a:spLocks noChangeShapeType="1"/>
          </xdr:cNvSpPr>
        </xdr:nvSpPr>
        <xdr:spPr bwMode="auto">
          <a:xfrm>
            <a:off x="4846110" y="12944474"/>
            <a:ext cx="0" cy="1463040"/>
          </a:xfrm>
          <a:prstGeom prst="line">
            <a:avLst/>
          </a:prstGeom>
          <a:ln w="12700" cap="flat" cmpd="sng" algn="ctr">
            <a:solidFill>
              <a:schemeClr val="dk1"/>
            </a:solidFill>
            <a:prstDash val="lgDash"/>
            <a:round/>
            <a:headEnd type="none" w="med" len="med"/>
            <a:tailEnd type="none" w="med" len="med"/>
          </a:ln>
        </xdr:spPr>
        <xdr:style>
          <a:lnRef idx="0">
            <a:scrgbClr r="0" g="0" b="0"/>
          </a:lnRef>
          <a:fillRef idx="0">
            <a:scrgbClr r="0" g="0" b="0"/>
          </a:fillRef>
          <a:effectRef idx="0">
            <a:scrgbClr r="0" g="0" b="0"/>
          </a:effectRef>
          <a:fontRef idx="minor">
            <a:schemeClr val="tx1"/>
          </a:fontRef>
        </xdr:style>
      </xdr:sp>
      <xdr:grpSp>
        <xdr:nvGrpSpPr>
          <xdr:cNvPr id="3" name="Group 2">
            <a:extLst>
              <a:ext uri="{FF2B5EF4-FFF2-40B4-BE49-F238E27FC236}">
                <a16:creationId xmlns:a16="http://schemas.microsoft.com/office/drawing/2014/main" id="{742AB580-4B49-40BB-A5C1-8008A2372539}"/>
              </a:ext>
            </a:extLst>
          </xdr:cNvPr>
          <xdr:cNvGrpSpPr/>
        </xdr:nvGrpSpPr>
        <xdr:grpSpPr>
          <a:xfrm>
            <a:off x="4823886" y="12916958"/>
            <a:ext cx="1148713" cy="239809"/>
            <a:chOff x="4823886" y="12916958"/>
            <a:chExt cx="1148713" cy="239809"/>
          </a:xfrm>
        </xdr:grpSpPr>
        <xdr:sp macro="" textlink="">
          <xdr:nvSpPr>
            <xdr:cNvPr id="137" name="TextBox 136">
              <a:extLst>
                <a:ext uri="{FF2B5EF4-FFF2-40B4-BE49-F238E27FC236}">
                  <a16:creationId xmlns:a16="http://schemas.microsoft.com/office/drawing/2014/main" id="{552ACEE1-3869-4E80-8169-15F277D17252}"/>
                </a:ext>
              </a:extLst>
            </xdr:cNvPr>
            <xdr:cNvSpPr txBox="1"/>
          </xdr:nvSpPr>
          <xdr:spPr>
            <a:xfrm>
              <a:off x="4823886" y="12916958"/>
              <a:ext cx="642997" cy="2398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000" b="1">
                  <a:latin typeface="Arial" panose="020B0604020202020204" pitchFamily="34" charset="0"/>
                  <a:cs typeface="Arial" panose="020B0604020202020204" pitchFamily="34" charset="0"/>
                </a:rPr>
                <a:t>T</a:t>
              </a:r>
              <a:r>
                <a:rPr lang="en-US" sz="1000" b="1" baseline="-25000">
                  <a:latin typeface="Arial" panose="020B0604020202020204" pitchFamily="34" charset="0"/>
                  <a:cs typeface="Arial" panose="020B0604020202020204" pitchFamily="34" charset="0"/>
                </a:rPr>
                <a:t>ComRcvr</a:t>
              </a:r>
            </a:p>
          </xdr:txBody>
        </xdr:sp>
        <xdr:sp macro="" textlink="">
          <xdr:nvSpPr>
            <xdr:cNvPr id="138" name="Line 7">
              <a:extLst>
                <a:ext uri="{FF2B5EF4-FFF2-40B4-BE49-F238E27FC236}">
                  <a16:creationId xmlns:a16="http://schemas.microsoft.com/office/drawing/2014/main" id="{8D050F73-DD2D-4F5C-AB09-F3F2CAA7A244}"/>
                </a:ext>
              </a:extLst>
            </xdr:cNvPr>
            <xdr:cNvSpPr>
              <a:spLocks noChangeShapeType="1"/>
            </xdr:cNvSpPr>
          </xdr:nvSpPr>
          <xdr:spPr bwMode="auto">
            <a:xfrm>
              <a:off x="5423959" y="13043958"/>
              <a:ext cx="548640" cy="0"/>
            </a:xfrm>
            <a:prstGeom prst="line">
              <a:avLst/>
            </a:prstGeom>
            <a:ln w="12700" cap="flat" cmpd="sng" algn="ctr">
              <a:solidFill>
                <a:schemeClr val="dk1"/>
              </a:solidFill>
              <a:prstDash val="solid"/>
              <a:round/>
              <a:headEnd type="none" w="med" len="med"/>
              <a:tailEnd type="triangle" w="med" len="med"/>
            </a:ln>
          </xdr:spPr>
          <xdr:style>
            <a:lnRef idx="0">
              <a:scrgbClr r="0" g="0" b="0"/>
            </a:lnRef>
            <a:fillRef idx="0">
              <a:scrgbClr r="0" g="0" b="0"/>
            </a:fillRef>
            <a:effectRef idx="0">
              <a:scrgbClr r="0" g="0" b="0"/>
            </a:effectRef>
            <a:fontRef idx="minor">
              <a:schemeClr val="tx1"/>
            </a:fontRef>
          </xdr:style>
        </xdr:sp>
      </xdr:grpSp>
    </xdr:grpSp>
    <xdr:clientData/>
  </xdr:twoCellAnchor>
  <xdr:oneCellAnchor>
    <xdr:from>
      <xdr:col>5</xdr:col>
      <xdr:colOff>369361</xdr:colOff>
      <xdr:row>84</xdr:row>
      <xdr:rowOff>85726</xdr:rowOff>
    </xdr:from>
    <xdr:ext cx="576568" cy="239809"/>
    <xdr:sp macro="" textlink="">
      <xdr:nvSpPr>
        <xdr:cNvPr id="139" name="TextBox 138">
          <a:extLst>
            <a:ext uri="{FF2B5EF4-FFF2-40B4-BE49-F238E27FC236}">
              <a16:creationId xmlns:a16="http://schemas.microsoft.com/office/drawing/2014/main" id="{F904A3F3-2CE4-4ACD-A47F-C64200475D43}"/>
            </a:ext>
          </a:extLst>
        </xdr:cNvPr>
        <xdr:cNvSpPr txBox="1"/>
      </xdr:nvSpPr>
      <xdr:spPr>
        <a:xfrm>
          <a:off x="3438528" y="13674726"/>
          <a:ext cx="576568" cy="2398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000" b="1">
              <a:latin typeface="Arial" panose="020B0604020202020204" pitchFamily="34" charset="0"/>
              <a:cs typeface="Arial" panose="020B0604020202020204" pitchFamily="34" charset="0"/>
            </a:rPr>
            <a:t>Line D</a:t>
          </a:r>
        </a:p>
      </xdr:txBody>
    </xdr:sp>
    <xdr:clientData/>
  </xdr:oneCellAnchor>
  <xdr:twoCellAnchor>
    <xdr:from>
      <xdr:col>6</xdr:col>
      <xdr:colOff>603249</xdr:colOff>
      <xdr:row>83</xdr:row>
      <xdr:rowOff>132291</xdr:rowOff>
    </xdr:from>
    <xdr:to>
      <xdr:col>7</xdr:col>
      <xdr:colOff>269875</xdr:colOff>
      <xdr:row>88</xdr:row>
      <xdr:rowOff>66038</xdr:rowOff>
    </xdr:to>
    <xdr:grpSp>
      <xdr:nvGrpSpPr>
        <xdr:cNvPr id="140" name="Group 139">
          <a:extLst>
            <a:ext uri="{FF2B5EF4-FFF2-40B4-BE49-F238E27FC236}">
              <a16:creationId xmlns:a16="http://schemas.microsoft.com/office/drawing/2014/main" id="{45636D73-5F10-45C9-A26C-0F9A0E7C926E}"/>
            </a:ext>
          </a:extLst>
        </xdr:cNvPr>
        <xdr:cNvGrpSpPr/>
      </xdr:nvGrpSpPr>
      <xdr:grpSpPr>
        <a:xfrm>
          <a:off x="4286249" y="13562541"/>
          <a:ext cx="280459" cy="727497"/>
          <a:chOff x="3803650" y="1643592"/>
          <a:chExt cx="280459" cy="727497"/>
        </a:xfrm>
      </xdr:grpSpPr>
      <xdr:sp macro="" textlink="">
        <xdr:nvSpPr>
          <xdr:cNvPr id="141" name="Rectangle 1">
            <a:extLst>
              <a:ext uri="{FF2B5EF4-FFF2-40B4-BE49-F238E27FC236}">
                <a16:creationId xmlns:a16="http://schemas.microsoft.com/office/drawing/2014/main" id="{17884689-1507-44E5-A191-77CF62FCED86}"/>
              </a:ext>
            </a:extLst>
          </xdr:cNvPr>
          <xdr:cNvSpPr>
            <a:spLocks noChangeArrowheads="1"/>
          </xdr:cNvSpPr>
        </xdr:nvSpPr>
        <xdr:spPr bwMode="auto">
          <a:xfrm>
            <a:off x="3851276" y="1843616"/>
            <a:ext cx="232833" cy="267759"/>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endParaRPr lang="en-US" sz="1000" b="1" i="0" strike="noStrike">
              <a:solidFill>
                <a:srgbClr val="000000"/>
              </a:solidFill>
              <a:latin typeface="Arial"/>
              <a:cs typeface="Arial"/>
            </a:endParaRPr>
          </a:p>
        </xdr:txBody>
      </xdr:sp>
      <xdr:sp macro="" textlink="">
        <xdr:nvSpPr>
          <xdr:cNvPr id="142" name="Line 7">
            <a:extLst>
              <a:ext uri="{FF2B5EF4-FFF2-40B4-BE49-F238E27FC236}">
                <a16:creationId xmlns:a16="http://schemas.microsoft.com/office/drawing/2014/main" id="{16D7C108-3507-4855-9FFA-E85DE8E5A6E5}"/>
              </a:ext>
            </a:extLst>
          </xdr:cNvPr>
          <xdr:cNvSpPr>
            <a:spLocks noChangeShapeType="1"/>
          </xdr:cNvSpPr>
        </xdr:nvSpPr>
        <xdr:spPr bwMode="auto">
          <a:xfrm>
            <a:off x="3971925" y="1643592"/>
            <a:ext cx="0" cy="640080"/>
          </a:xfrm>
          <a:prstGeom prst="line">
            <a:avLst/>
          </a:prstGeom>
          <a:ln w="19050" cap="flat" cmpd="sng" algn="ctr">
            <a:solidFill>
              <a:schemeClr val="dk1"/>
            </a:solidFill>
            <a:prstDash val="sysDash"/>
            <a:round/>
            <a:headEnd type="none" w="med" len="med"/>
            <a:tailEnd type="none" w="med" len="med"/>
          </a:ln>
        </xdr:spPr>
        <xdr:style>
          <a:lnRef idx="0">
            <a:scrgbClr r="0" g="0" b="0"/>
          </a:lnRef>
          <a:fillRef idx="0">
            <a:scrgbClr r="0" g="0" b="0"/>
          </a:fillRef>
          <a:effectRef idx="0">
            <a:scrgbClr r="0" g="0" b="0"/>
          </a:effectRef>
          <a:fontRef idx="minor">
            <a:schemeClr val="tx1"/>
          </a:fontRef>
        </xdr:style>
      </xdr:sp>
      <xdr:sp macro="" textlink="">
        <xdr:nvSpPr>
          <xdr:cNvPr id="143" name="Line 8">
            <a:extLst>
              <a:ext uri="{FF2B5EF4-FFF2-40B4-BE49-F238E27FC236}">
                <a16:creationId xmlns:a16="http://schemas.microsoft.com/office/drawing/2014/main" id="{40CDAB43-583B-4F89-8FD6-6C6F194EE811}"/>
              </a:ext>
            </a:extLst>
          </xdr:cNvPr>
          <xdr:cNvSpPr>
            <a:spLocks noChangeShapeType="1"/>
          </xdr:cNvSpPr>
        </xdr:nvSpPr>
        <xdr:spPr bwMode="auto">
          <a:xfrm>
            <a:off x="3881966" y="2279649"/>
            <a:ext cx="18288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txBody>
          <a:bodyPr/>
          <a:lstStyle/>
          <a:p>
            <a:endParaRPr lang="en-US"/>
          </a:p>
        </xdr:txBody>
      </xdr:sp>
      <xdr:sp macro="" textlink="">
        <xdr:nvSpPr>
          <xdr:cNvPr id="144" name="Line 8">
            <a:extLst>
              <a:ext uri="{FF2B5EF4-FFF2-40B4-BE49-F238E27FC236}">
                <a16:creationId xmlns:a16="http://schemas.microsoft.com/office/drawing/2014/main" id="{ECAB97E5-0D0F-41AF-8FA1-08D9358CB8C1}"/>
              </a:ext>
            </a:extLst>
          </xdr:cNvPr>
          <xdr:cNvSpPr>
            <a:spLocks noChangeShapeType="1"/>
          </xdr:cNvSpPr>
        </xdr:nvSpPr>
        <xdr:spPr bwMode="auto">
          <a:xfrm flipH="1">
            <a:off x="3803650" y="2279649"/>
            <a:ext cx="91440" cy="9144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txBody>
          <a:bodyPr/>
          <a:lstStyle/>
          <a:p>
            <a:endParaRPr lang="en-US"/>
          </a:p>
        </xdr:txBody>
      </xdr:sp>
      <xdr:sp macro="" textlink="">
        <xdr:nvSpPr>
          <xdr:cNvPr id="145" name="Line 8">
            <a:extLst>
              <a:ext uri="{FF2B5EF4-FFF2-40B4-BE49-F238E27FC236}">
                <a16:creationId xmlns:a16="http://schemas.microsoft.com/office/drawing/2014/main" id="{8323A808-8114-4BCE-9FE1-92B83654780C}"/>
              </a:ext>
            </a:extLst>
          </xdr:cNvPr>
          <xdr:cNvSpPr>
            <a:spLocks noChangeShapeType="1"/>
          </xdr:cNvSpPr>
        </xdr:nvSpPr>
        <xdr:spPr bwMode="auto">
          <a:xfrm flipH="1">
            <a:off x="3971925" y="2279649"/>
            <a:ext cx="91440" cy="9144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txBody>
          <a:bodyPr/>
          <a:lstStyle/>
          <a:p>
            <a:endParaRPr lang="en-US"/>
          </a:p>
        </xdr:txBody>
      </xdr:sp>
      <xdr:sp macro="" textlink="">
        <xdr:nvSpPr>
          <xdr:cNvPr id="146" name="Line 8">
            <a:extLst>
              <a:ext uri="{FF2B5EF4-FFF2-40B4-BE49-F238E27FC236}">
                <a16:creationId xmlns:a16="http://schemas.microsoft.com/office/drawing/2014/main" id="{B47897CE-6F72-4B2E-AF87-3DECA598677C}"/>
              </a:ext>
            </a:extLst>
          </xdr:cNvPr>
          <xdr:cNvSpPr>
            <a:spLocks noChangeShapeType="1"/>
          </xdr:cNvSpPr>
        </xdr:nvSpPr>
        <xdr:spPr bwMode="auto">
          <a:xfrm flipH="1">
            <a:off x="3886200" y="2279649"/>
            <a:ext cx="91440" cy="9144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txBody>
          <a:bodyPr/>
          <a:lstStyle/>
          <a:p>
            <a:endParaRPr lang="en-US"/>
          </a:p>
        </xdr:txBody>
      </xdr:sp>
    </xdr:grpSp>
    <xdr:clientData/>
  </xdr:twoCellAnchor>
  <xdr:twoCellAnchor>
    <xdr:from>
      <xdr:col>9</xdr:col>
      <xdr:colOff>552451</xdr:colOff>
      <xdr:row>84</xdr:row>
      <xdr:rowOff>48679</xdr:rowOff>
    </xdr:from>
    <xdr:to>
      <xdr:col>10</xdr:col>
      <xdr:colOff>496356</xdr:colOff>
      <xdr:row>87</xdr:row>
      <xdr:rowOff>83606</xdr:rowOff>
    </xdr:to>
    <xdr:sp macro="" textlink="">
      <xdr:nvSpPr>
        <xdr:cNvPr id="56" name="Rectangle 1">
          <a:extLst>
            <a:ext uri="{FF2B5EF4-FFF2-40B4-BE49-F238E27FC236}">
              <a16:creationId xmlns:a16="http://schemas.microsoft.com/office/drawing/2014/main" id="{BE0E1E5F-BD2D-4945-91BB-4E08258C450C}"/>
            </a:ext>
          </a:extLst>
        </xdr:cNvPr>
        <xdr:cNvSpPr>
          <a:spLocks noChangeArrowheads="1"/>
        </xdr:cNvSpPr>
      </xdr:nvSpPr>
      <xdr:spPr bwMode="auto">
        <a:xfrm>
          <a:off x="6537326" y="13637679"/>
          <a:ext cx="642405" cy="511177"/>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Coax</a:t>
          </a:r>
          <a:br>
            <a:rPr lang="en-US" sz="1000" b="1" i="0" strike="noStrike">
              <a:solidFill>
                <a:srgbClr val="000000"/>
              </a:solidFill>
              <a:latin typeface="Arial"/>
              <a:cs typeface="Arial"/>
            </a:rPr>
          </a:br>
          <a:r>
            <a:rPr lang="en-US" sz="1000" b="1" i="0" strike="noStrike">
              <a:solidFill>
                <a:srgbClr val="000000"/>
              </a:solidFill>
              <a:latin typeface="Arial"/>
              <a:cs typeface="Arial"/>
            </a:rPr>
            <a:t>Relay</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4</xdr:col>
      <xdr:colOff>361950</xdr:colOff>
      <xdr:row>9</xdr:row>
      <xdr:rowOff>88900</xdr:rowOff>
    </xdr:from>
    <xdr:to>
      <xdr:col>4</xdr:col>
      <xdr:colOff>628650</xdr:colOff>
      <xdr:row>9</xdr:row>
      <xdr:rowOff>88900</xdr:rowOff>
    </xdr:to>
    <xdr:sp macro="" textlink="">
      <xdr:nvSpPr>
        <xdr:cNvPr id="9187" name="Line 12">
          <a:extLst>
            <a:ext uri="{FF2B5EF4-FFF2-40B4-BE49-F238E27FC236}">
              <a16:creationId xmlns:a16="http://schemas.microsoft.com/office/drawing/2014/main" id="{37225746-B449-4EB9-99F9-9F091A397AC1}"/>
            </a:ext>
          </a:extLst>
        </xdr:cNvPr>
        <xdr:cNvSpPr>
          <a:spLocks noChangeShapeType="1"/>
        </xdr:cNvSpPr>
      </xdr:nvSpPr>
      <xdr:spPr bwMode="auto">
        <a:xfrm flipH="1" flipV="1">
          <a:off x="2825750" y="1803400"/>
          <a:ext cx="2667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361950</xdr:colOff>
      <xdr:row>9</xdr:row>
      <xdr:rowOff>88900</xdr:rowOff>
    </xdr:from>
    <xdr:to>
      <xdr:col>4</xdr:col>
      <xdr:colOff>361950</xdr:colOff>
      <xdr:row>10</xdr:row>
      <xdr:rowOff>0</xdr:rowOff>
    </xdr:to>
    <xdr:sp macro="" textlink="">
      <xdr:nvSpPr>
        <xdr:cNvPr id="9188" name="Line 13">
          <a:extLst>
            <a:ext uri="{FF2B5EF4-FFF2-40B4-BE49-F238E27FC236}">
              <a16:creationId xmlns:a16="http://schemas.microsoft.com/office/drawing/2014/main" id="{543E6C81-9332-4DB0-A0E3-F85776E88CB9}"/>
            </a:ext>
          </a:extLst>
        </xdr:cNvPr>
        <xdr:cNvSpPr>
          <a:spLocks noChangeShapeType="1"/>
        </xdr:cNvSpPr>
      </xdr:nvSpPr>
      <xdr:spPr bwMode="auto">
        <a:xfrm flipH="1">
          <a:off x="2825750" y="1803400"/>
          <a:ext cx="0" cy="762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361950</xdr:colOff>
      <xdr:row>56</xdr:row>
      <xdr:rowOff>88900</xdr:rowOff>
    </xdr:from>
    <xdr:to>
      <xdr:col>4</xdr:col>
      <xdr:colOff>628650</xdr:colOff>
      <xdr:row>56</xdr:row>
      <xdr:rowOff>88900</xdr:rowOff>
    </xdr:to>
    <xdr:sp macro="" textlink="">
      <xdr:nvSpPr>
        <xdr:cNvPr id="9189" name="Line 17">
          <a:extLst>
            <a:ext uri="{FF2B5EF4-FFF2-40B4-BE49-F238E27FC236}">
              <a16:creationId xmlns:a16="http://schemas.microsoft.com/office/drawing/2014/main" id="{E5FCC254-5501-4819-B560-316945715DA2}"/>
            </a:ext>
          </a:extLst>
        </xdr:cNvPr>
        <xdr:cNvSpPr>
          <a:spLocks noChangeShapeType="1"/>
        </xdr:cNvSpPr>
      </xdr:nvSpPr>
      <xdr:spPr bwMode="auto">
        <a:xfrm flipH="1" flipV="1">
          <a:off x="2825750" y="14852650"/>
          <a:ext cx="2667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361950</xdr:colOff>
      <xdr:row>56</xdr:row>
      <xdr:rowOff>88900</xdr:rowOff>
    </xdr:from>
    <xdr:to>
      <xdr:col>4</xdr:col>
      <xdr:colOff>361950</xdr:colOff>
      <xdr:row>57</xdr:row>
      <xdr:rowOff>0</xdr:rowOff>
    </xdr:to>
    <xdr:sp macro="" textlink="">
      <xdr:nvSpPr>
        <xdr:cNvPr id="9190" name="Line 18">
          <a:extLst>
            <a:ext uri="{FF2B5EF4-FFF2-40B4-BE49-F238E27FC236}">
              <a16:creationId xmlns:a16="http://schemas.microsoft.com/office/drawing/2014/main" id="{D21FA84C-49EC-48A9-B22F-5399150F8A97}"/>
            </a:ext>
          </a:extLst>
        </xdr:cNvPr>
        <xdr:cNvSpPr>
          <a:spLocks noChangeShapeType="1"/>
        </xdr:cNvSpPr>
      </xdr:nvSpPr>
      <xdr:spPr bwMode="auto">
        <a:xfrm flipH="1">
          <a:off x="2825750" y="14852650"/>
          <a:ext cx="0" cy="762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127000</xdr:colOff>
      <xdr:row>33</xdr:row>
      <xdr:rowOff>12700</xdr:rowOff>
    </xdr:from>
    <xdr:to>
      <xdr:col>3</xdr:col>
      <xdr:colOff>127000</xdr:colOff>
      <xdr:row>33</xdr:row>
      <xdr:rowOff>203200</xdr:rowOff>
    </xdr:to>
    <xdr:sp macro="" textlink="">
      <xdr:nvSpPr>
        <xdr:cNvPr id="9191" name="Line 20">
          <a:extLst>
            <a:ext uri="{FF2B5EF4-FFF2-40B4-BE49-F238E27FC236}">
              <a16:creationId xmlns:a16="http://schemas.microsoft.com/office/drawing/2014/main" id="{C1EFDAF8-6F14-4B6A-B809-6F68E45487D9}"/>
            </a:ext>
          </a:extLst>
        </xdr:cNvPr>
        <xdr:cNvSpPr>
          <a:spLocks noChangeShapeType="1"/>
        </xdr:cNvSpPr>
      </xdr:nvSpPr>
      <xdr:spPr bwMode="auto">
        <a:xfrm flipV="1">
          <a:off x="1974850" y="8883650"/>
          <a:ext cx="0" cy="19050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10</xdr:col>
      <xdr:colOff>266700</xdr:colOff>
      <xdr:row>33</xdr:row>
      <xdr:rowOff>12700</xdr:rowOff>
    </xdr:from>
    <xdr:to>
      <xdr:col>10</xdr:col>
      <xdr:colOff>266700</xdr:colOff>
      <xdr:row>34</xdr:row>
      <xdr:rowOff>0</xdr:rowOff>
    </xdr:to>
    <xdr:sp macro="" textlink="">
      <xdr:nvSpPr>
        <xdr:cNvPr id="9192" name="Line 21">
          <a:extLst>
            <a:ext uri="{FF2B5EF4-FFF2-40B4-BE49-F238E27FC236}">
              <a16:creationId xmlns:a16="http://schemas.microsoft.com/office/drawing/2014/main" id="{EAE59584-EEBB-4BBB-90D3-6B24E93F8F8F}"/>
            </a:ext>
          </a:extLst>
        </xdr:cNvPr>
        <xdr:cNvSpPr>
          <a:spLocks noChangeShapeType="1"/>
        </xdr:cNvSpPr>
      </xdr:nvSpPr>
      <xdr:spPr bwMode="auto">
        <a:xfrm>
          <a:off x="6908800" y="8883650"/>
          <a:ext cx="0" cy="19050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361950</xdr:colOff>
      <xdr:row>22</xdr:row>
      <xdr:rowOff>76200</xdr:rowOff>
    </xdr:from>
    <xdr:to>
      <xdr:col>4</xdr:col>
      <xdr:colOff>628650</xdr:colOff>
      <xdr:row>22</xdr:row>
      <xdr:rowOff>76200</xdr:rowOff>
    </xdr:to>
    <xdr:sp macro="" textlink="">
      <xdr:nvSpPr>
        <xdr:cNvPr id="9193" name="Line 22">
          <a:extLst>
            <a:ext uri="{FF2B5EF4-FFF2-40B4-BE49-F238E27FC236}">
              <a16:creationId xmlns:a16="http://schemas.microsoft.com/office/drawing/2014/main" id="{0C448335-BC04-4E94-8792-F0BD94A679A5}"/>
            </a:ext>
          </a:extLst>
        </xdr:cNvPr>
        <xdr:cNvSpPr>
          <a:spLocks noChangeShapeType="1"/>
        </xdr:cNvSpPr>
      </xdr:nvSpPr>
      <xdr:spPr bwMode="auto">
        <a:xfrm flipH="1" flipV="1">
          <a:off x="2825750" y="5092700"/>
          <a:ext cx="2667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361950</xdr:colOff>
      <xdr:row>22</xdr:row>
      <xdr:rowOff>76200</xdr:rowOff>
    </xdr:from>
    <xdr:to>
      <xdr:col>4</xdr:col>
      <xdr:colOff>361950</xdr:colOff>
      <xdr:row>22</xdr:row>
      <xdr:rowOff>165100</xdr:rowOff>
    </xdr:to>
    <xdr:sp macro="" textlink="">
      <xdr:nvSpPr>
        <xdr:cNvPr id="9194" name="Line 23">
          <a:extLst>
            <a:ext uri="{FF2B5EF4-FFF2-40B4-BE49-F238E27FC236}">
              <a16:creationId xmlns:a16="http://schemas.microsoft.com/office/drawing/2014/main" id="{27FC66E0-802C-4104-B7BB-DA6A78FEEA5F}"/>
            </a:ext>
          </a:extLst>
        </xdr:cNvPr>
        <xdr:cNvSpPr>
          <a:spLocks noChangeShapeType="1"/>
        </xdr:cNvSpPr>
      </xdr:nvSpPr>
      <xdr:spPr bwMode="auto">
        <a:xfrm flipH="1">
          <a:off x="2825750" y="5092700"/>
          <a:ext cx="0" cy="889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349250</xdr:colOff>
      <xdr:row>39</xdr:row>
      <xdr:rowOff>88900</xdr:rowOff>
    </xdr:from>
    <xdr:to>
      <xdr:col>4</xdr:col>
      <xdr:colOff>349250</xdr:colOff>
      <xdr:row>40</xdr:row>
      <xdr:rowOff>12700</xdr:rowOff>
    </xdr:to>
    <xdr:sp macro="" textlink="">
      <xdr:nvSpPr>
        <xdr:cNvPr id="9195" name="Line 24">
          <a:extLst>
            <a:ext uri="{FF2B5EF4-FFF2-40B4-BE49-F238E27FC236}">
              <a16:creationId xmlns:a16="http://schemas.microsoft.com/office/drawing/2014/main" id="{7432448D-88EA-4869-8671-62E1CD3AB1CC}"/>
            </a:ext>
          </a:extLst>
        </xdr:cNvPr>
        <xdr:cNvSpPr>
          <a:spLocks noChangeShapeType="1"/>
        </xdr:cNvSpPr>
      </xdr:nvSpPr>
      <xdr:spPr bwMode="auto">
        <a:xfrm flipH="1">
          <a:off x="2813050" y="10013950"/>
          <a:ext cx="0" cy="889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361950</xdr:colOff>
      <xdr:row>39</xdr:row>
      <xdr:rowOff>88900</xdr:rowOff>
    </xdr:from>
    <xdr:to>
      <xdr:col>4</xdr:col>
      <xdr:colOff>628650</xdr:colOff>
      <xdr:row>39</xdr:row>
      <xdr:rowOff>88900</xdr:rowOff>
    </xdr:to>
    <xdr:sp macro="" textlink="">
      <xdr:nvSpPr>
        <xdr:cNvPr id="9196" name="Line 26">
          <a:extLst>
            <a:ext uri="{FF2B5EF4-FFF2-40B4-BE49-F238E27FC236}">
              <a16:creationId xmlns:a16="http://schemas.microsoft.com/office/drawing/2014/main" id="{A01510BA-0FD3-48BF-B57C-18EC4CD9A82A}"/>
            </a:ext>
          </a:extLst>
        </xdr:cNvPr>
        <xdr:cNvSpPr>
          <a:spLocks noChangeShapeType="1"/>
        </xdr:cNvSpPr>
      </xdr:nvSpPr>
      <xdr:spPr bwMode="auto">
        <a:xfrm flipH="1" flipV="1">
          <a:off x="2825750" y="10013950"/>
          <a:ext cx="2667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wsDr>
</file>

<file path=xl/drawings/drawing7.xml><?xml version="1.0" encoding="utf-8"?>
<xdr:wsDr xmlns:xdr="http://schemas.openxmlformats.org/drawingml/2006/spreadsheetDrawing" xmlns:a="http://schemas.openxmlformats.org/drawingml/2006/main">
  <xdr:twoCellAnchor>
    <xdr:from>
      <xdr:col>2</xdr:col>
      <xdr:colOff>139700</xdr:colOff>
      <xdr:row>4</xdr:row>
      <xdr:rowOff>95250</xdr:rowOff>
    </xdr:from>
    <xdr:to>
      <xdr:col>2</xdr:col>
      <xdr:colOff>419100</xdr:colOff>
      <xdr:row>6</xdr:row>
      <xdr:rowOff>0</xdr:rowOff>
    </xdr:to>
    <xdr:sp macro="" textlink="">
      <xdr:nvSpPr>
        <xdr:cNvPr id="553567" name="Rectangle 1">
          <a:extLst>
            <a:ext uri="{FF2B5EF4-FFF2-40B4-BE49-F238E27FC236}">
              <a16:creationId xmlns:a16="http://schemas.microsoft.com/office/drawing/2014/main" id="{FE5E0D26-B19A-4395-973E-195DD824C8D8}"/>
            </a:ext>
          </a:extLst>
        </xdr:cNvPr>
        <xdr:cNvSpPr>
          <a:spLocks noChangeArrowheads="1"/>
        </xdr:cNvSpPr>
      </xdr:nvSpPr>
      <xdr:spPr bwMode="auto">
        <a:xfrm rot="-1662453">
          <a:off x="1371600" y="806450"/>
          <a:ext cx="279400" cy="222250"/>
        </a:xfrm>
        <a:prstGeom prst="rect">
          <a:avLst/>
        </a:prstGeom>
        <a:solidFill>
          <a:srgbClr val="3366FF"/>
        </a:solidFill>
        <a:ln w="9525">
          <a:solidFill>
            <a:srgbClr val="000000"/>
          </a:solidFill>
          <a:miter lim="800000"/>
          <a:headEnd/>
          <a:tailEnd/>
        </a:ln>
      </xdr:spPr>
    </xdr:sp>
    <xdr:clientData/>
  </xdr:twoCellAnchor>
  <xdr:twoCellAnchor>
    <xdr:from>
      <xdr:col>2</xdr:col>
      <xdr:colOff>171450</xdr:colOff>
      <xdr:row>3</xdr:row>
      <xdr:rowOff>107950</xdr:rowOff>
    </xdr:from>
    <xdr:to>
      <xdr:col>2</xdr:col>
      <xdr:colOff>171450</xdr:colOff>
      <xdr:row>4</xdr:row>
      <xdr:rowOff>107950</xdr:rowOff>
    </xdr:to>
    <xdr:sp macro="" textlink="">
      <xdr:nvSpPr>
        <xdr:cNvPr id="553568" name="Line 2">
          <a:extLst>
            <a:ext uri="{FF2B5EF4-FFF2-40B4-BE49-F238E27FC236}">
              <a16:creationId xmlns:a16="http://schemas.microsoft.com/office/drawing/2014/main" id="{FA383A28-E282-4D5C-A674-1B1AECAE284E}"/>
            </a:ext>
          </a:extLst>
        </xdr:cNvPr>
        <xdr:cNvSpPr>
          <a:spLocks noChangeShapeType="1"/>
        </xdr:cNvSpPr>
      </xdr:nvSpPr>
      <xdr:spPr bwMode="auto">
        <a:xfrm rot="-1651313">
          <a:off x="1403350" y="660400"/>
          <a:ext cx="0" cy="15875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12700</xdr:colOff>
      <xdr:row>20</xdr:row>
      <xdr:rowOff>50800</xdr:rowOff>
    </xdr:from>
    <xdr:to>
      <xdr:col>2</xdr:col>
      <xdr:colOff>546100</xdr:colOff>
      <xdr:row>20</xdr:row>
      <xdr:rowOff>133350</xdr:rowOff>
    </xdr:to>
    <xdr:sp macro="" textlink="">
      <xdr:nvSpPr>
        <xdr:cNvPr id="553569" name="AutoShape 5">
          <a:extLst>
            <a:ext uri="{FF2B5EF4-FFF2-40B4-BE49-F238E27FC236}">
              <a16:creationId xmlns:a16="http://schemas.microsoft.com/office/drawing/2014/main" id="{D4364682-F19A-42EC-BCCA-42F5A226D8F9}"/>
            </a:ext>
          </a:extLst>
        </xdr:cNvPr>
        <xdr:cNvSpPr>
          <a:spLocks noChangeArrowheads="1"/>
        </xdr:cNvSpPr>
      </xdr:nvSpPr>
      <xdr:spPr bwMode="auto">
        <a:xfrm rot="-6288120">
          <a:off x="1470025" y="3076575"/>
          <a:ext cx="82550" cy="533400"/>
        </a:xfrm>
        <a:prstGeom prst="moon">
          <a:avLst>
            <a:gd name="adj" fmla="val 50000"/>
          </a:avLst>
        </a:prstGeom>
        <a:solidFill>
          <a:srgbClr val="969696"/>
        </a:solidFill>
        <a:ln w="9525">
          <a:solidFill>
            <a:srgbClr val="000000"/>
          </a:solidFill>
          <a:miter lim="800000"/>
          <a:headEnd/>
          <a:tailEnd/>
        </a:ln>
      </xdr:spPr>
    </xdr:sp>
    <xdr:clientData/>
  </xdr:twoCellAnchor>
  <xdr:twoCellAnchor>
    <xdr:from>
      <xdr:col>2</xdr:col>
      <xdr:colOff>254000</xdr:colOff>
      <xdr:row>5</xdr:row>
      <xdr:rowOff>38100</xdr:rowOff>
    </xdr:from>
    <xdr:to>
      <xdr:col>2</xdr:col>
      <xdr:colOff>266700</xdr:colOff>
      <xdr:row>20</xdr:row>
      <xdr:rowOff>82550</xdr:rowOff>
    </xdr:to>
    <xdr:sp macro="" textlink="">
      <xdr:nvSpPr>
        <xdr:cNvPr id="553570" name="Line 6">
          <a:extLst>
            <a:ext uri="{FF2B5EF4-FFF2-40B4-BE49-F238E27FC236}">
              <a16:creationId xmlns:a16="http://schemas.microsoft.com/office/drawing/2014/main" id="{2203A6D4-40AC-4558-ABD2-C7DF019ED34C}"/>
            </a:ext>
          </a:extLst>
        </xdr:cNvPr>
        <xdr:cNvSpPr>
          <a:spLocks noChangeShapeType="1"/>
        </xdr:cNvSpPr>
      </xdr:nvSpPr>
      <xdr:spPr bwMode="auto">
        <a:xfrm flipH="1">
          <a:off x="1485900" y="908050"/>
          <a:ext cx="12700" cy="2425700"/>
        </a:xfrm>
        <a:prstGeom prst="line">
          <a:avLst/>
        </a:prstGeom>
        <a:noFill/>
        <a:ln w="28575">
          <a:solidFill>
            <a:srgbClr val="FF0000"/>
          </a:solidFill>
          <a:round/>
          <a:headEnd type="triangle" w="med" len="med"/>
          <a:tailEnd/>
        </a:ln>
        <a:extLst>
          <a:ext uri="{909E8E84-426E-40DD-AFC4-6F175D3DCCD1}">
            <a14:hiddenFill xmlns:a14="http://schemas.microsoft.com/office/drawing/2010/main">
              <a:noFill/>
            </a14:hiddenFill>
          </a:ext>
        </a:extLst>
      </xdr:spPr>
    </xdr:sp>
    <xdr:clientData/>
  </xdr:twoCellAnchor>
  <xdr:twoCellAnchor>
    <xdr:from>
      <xdr:col>2</xdr:col>
      <xdr:colOff>266700</xdr:colOff>
      <xdr:row>5</xdr:row>
      <xdr:rowOff>38100</xdr:rowOff>
    </xdr:from>
    <xdr:to>
      <xdr:col>3</xdr:col>
      <xdr:colOff>311150</xdr:colOff>
      <xdr:row>13</xdr:row>
      <xdr:rowOff>120650</xdr:rowOff>
    </xdr:to>
    <xdr:sp macro="" textlink="">
      <xdr:nvSpPr>
        <xdr:cNvPr id="553571" name="Line 7">
          <a:extLst>
            <a:ext uri="{FF2B5EF4-FFF2-40B4-BE49-F238E27FC236}">
              <a16:creationId xmlns:a16="http://schemas.microsoft.com/office/drawing/2014/main" id="{F48B4E79-022B-44A9-9DFB-4A6A3013C044}"/>
            </a:ext>
          </a:extLst>
        </xdr:cNvPr>
        <xdr:cNvSpPr>
          <a:spLocks noChangeShapeType="1"/>
        </xdr:cNvSpPr>
      </xdr:nvSpPr>
      <xdr:spPr bwMode="auto">
        <a:xfrm>
          <a:off x="1498600" y="908050"/>
          <a:ext cx="660400" cy="13525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xdr:col>
      <xdr:colOff>571500</xdr:colOff>
      <xdr:row>11</xdr:row>
      <xdr:rowOff>63500</xdr:rowOff>
    </xdr:from>
    <xdr:to>
      <xdr:col>2</xdr:col>
      <xdr:colOff>241300</xdr:colOff>
      <xdr:row>20</xdr:row>
      <xdr:rowOff>63500</xdr:rowOff>
    </xdr:to>
    <xdr:sp macro="" textlink="">
      <xdr:nvSpPr>
        <xdr:cNvPr id="553572" name="Line 8">
          <a:extLst>
            <a:ext uri="{FF2B5EF4-FFF2-40B4-BE49-F238E27FC236}">
              <a16:creationId xmlns:a16="http://schemas.microsoft.com/office/drawing/2014/main" id="{E20C2073-AFA2-4E13-B988-A7C7F75DCFEB}"/>
            </a:ext>
          </a:extLst>
        </xdr:cNvPr>
        <xdr:cNvSpPr>
          <a:spLocks noChangeShapeType="1"/>
        </xdr:cNvSpPr>
      </xdr:nvSpPr>
      <xdr:spPr bwMode="auto">
        <a:xfrm flipH="1" flipV="1">
          <a:off x="1187450" y="1885950"/>
          <a:ext cx="285750" cy="14287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oneCellAnchor>
    <xdr:from>
      <xdr:col>2</xdr:col>
      <xdr:colOff>511175</xdr:colOff>
      <xdr:row>12</xdr:row>
      <xdr:rowOff>79375</xdr:rowOff>
    </xdr:from>
    <xdr:ext cx="245116" cy="176972"/>
    <xdr:sp macro="" textlink="">
      <xdr:nvSpPr>
        <xdr:cNvPr id="10249" name="Text Box 9">
          <a:extLst>
            <a:ext uri="{FF2B5EF4-FFF2-40B4-BE49-F238E27FC236}">
              <a16:creationId xmlns:a16="http://schemas.microsoft.com/office/drawing/2014/main" id="{FB94BD76-8878-4D54-A6A8-EF7FBCBAB4CB}"/>
            </a:ext>
          </a:extLst>
        </xdr:cNvPr>
        <xdr:cNvSpPr txBox="1">
          <a:spLocks noChangeArrowheads="1"/>
        </xdr:cNvSpPr>
      </xdr:nvSpPr>
      <xdr:spPr bwMode="auto">
        <a:xfrm>
          <a:off x="1910292" y="1978025"/>
          <a:ext cx="14484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2</a:t>
          </a:r>
        </a:p>
      </xdr:txBody>
    </xdr:sp>
    <xdr:clientData/>
  </xdr:oneCellAnchor>
  <xdr:twoCellAnchor>
    <xdr:from>
      <xdr:col>2</xdr:col>
      <xdr:colOff>292100</xdr:colOff>
      <xdr:row>13</xdr:row>
      <xdr:rowOff>50800</xdr:rowOff>
    </xdr:from>
    <xdr:to>
      <xdr:col>2</xdr:col>
      <xdr:colOff>488950</xdr:colOff>
      <xdr:row>13</xdr:row>
      <xdr:rowOff>101600</xdr:rowOff>
    </xdr:to>
    <xdr:sp macro="" textlink="">
      <xdr:nvSpPr>
        <xdr:cNvPr id="553574" name="Line 10">
          <a:extLst>
            <a:ext uri="{FF2B5EF4-FFF2-40B4-BE49-F238E27FC236}">
              <a16:creationId xmlns:a16="http://schemas.microsoft.com/office/drawing/2014/main" id="{A4E02D13-F404-49C0-A102-39A0DBEDCA02}"/>
            </a:ext>
          </a:extLst>
        </xdr:cNvPr>
        <xdr:cNvSpPr>
          <a:spLocks noChangeShapeType="1"/>
        </xdr:cNvSpPr>
      </xdr:nvSpPr>
      <xdr:spPr bwMode="auto">
        <a:xfrm flipH="1">
          <a:off x="1524000" y="2190750"/>
          <a:ext cx="196850" cy="508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31750</xdr:colOff>
      <xdr:row>12</xdr:row>
      <xdr:rowOff>50800</xdr:rowOff>
    </xdr:from>
    <xdr:to>
      <xdr:col>3</xdr:col>
      <xdr:colOff>171450</xdr:colOff>
      <xdr:row>12</xdr:row>
      <xdr:rowOff>133350</xdr:rowOff>
    </xdr:to>
    <xdr:sp macro="" textlink="">
      <xdr:nvSpPr>
        <xdr:cNvPr id="553575" name="Line 11">
          <a:extLst>
            <a:ext uri="{FF2B5EF4-FFF2-40B4-BE49-F238E27FC236}">
              <a16:creationId xmlns:a16="http://schemas.microsoft.com/office/drawing/2014/main" id="{3D9845B9-982D-4A7F-A26C-759D9E9E35F2}"/>
            </a:ext>
          </a:extLst>
        </xdr:cNvPr>
        <xdr:cNvSpPr>
          <a:spLocks noChangeShapeType="1"/>
        </xdr:cNvSpPr>
      </xdr:nvSpPr>
      <xdr:spPr bwMode="auto">
        <a:xfrm flipV="1">
          <a:off x="1879600" y="2032000"/>
          <a:ext cx="139700" cy="825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xdr:col>
      <xdr:colOff>28575</xdr:colOff>
      <xdr:row>11</xdr:row>
      <xdr:rowOff>82550</xdr:rowOff>
    </xdr:from>
    <xdr:ext cx="144848" cy="170560"/>
    <xdr:sp macro="" textlink="">
      <xdr:nvSpPr>
        <xdr:cNvPr id="10252" name="Text Box 12">
          <a:extLst>
            <a:ext uri="{FF2B5EF4-FFF2-40B4-BE49-F238E27FC236}">
              <a16:creationId xmlns:a16="http://schemas.microsoft.com/office/drawing/2014/main" id="{385B8533-4E26-464E-BEB7-0336B96A44E9}"/>
            </a:ext>
          </a:extLst>
        </xdr:cNvPr>
        <xdr:cNvSpPr txBox="1">
          <a:spLocks noChangeArrowheads="1"/>
        </xdr:cNvSpPr>
      </xdr:nvSpPr>
      <xdr:spPr bwMode="auto">
        <a:xfrm>
          <a:off x="1264708" y="1928283"/>
          <a:ext cx="144848"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1</a:t>
          </a:r>
        </a:p>
      </xdr:txBody>
    </xdr:sp>
    <xdr:clientData/>
  </xdr:oneCellAnchor>
  <xdr:twoCellAnchor>
    <xdr:from>
      <xdr:col>2</xdr:col>
      <xdr:colOff>184150</xdr:colOff>
      <xdr:row>11</xdr:row>
      <xdr:rowOff>82550</xdr:rowOff>
    </xdr:from>
    <xdr:to>
      <xdr:col>2</xdr:col>
      <xdr:colOff>279400</xdr:colOff>
      <xdr:row>11</xdr:row>
      <xdr:rowOff>107950</xdr:rowOff>
    </xdr:to>
    <xdr:sp macro="" textlink="">
      <xdr:nvSpPr>
        <xdr:cNvPr id="553577" name="Line 13">
          <a:extLst>
            <a:ext uri="{FF2B5EF4-FFF2-40B4-BE49-F238E27FC236}">
              <a16:creationId xmlns:a16="http://schemas.microsoft.com/office/drawing/2014/main" id="{E2135416-16A8-44DA-86D1-4F8A8BFA6ED9}"/>
            </a:ext>
          </a:extLst>
        </xdr:cNvPr>
        <xdr:cNvSpPr>
          <a:spLocks noChangeShapeType="1"/>
        </xdr:cNvSpPr>
      </xdr:nvSpPr>
      <xdr:spPr bwMode="auto">
        <a:xfrm flipV="1">
          <a:off x="1416050" y="1905000"/>
          <a:ext cx="95250" cy="25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xdr:col>
      <xdr:colOff>590550</xdr:colOff>
      <xdr:row>12</xdr:row>
      <xdr:rowOff>0</xdr:rowOff>
    </xdr:from>
    <xdr:to>
      <xdr:col>2</xdr:col>
      <xdr:colOff>31750</xdr:colOff>
      <xdr:row>12</xdr:row>
      <xdr:rowOff>25400</xdr:rowOff>
    </xdr:to>
    <xdr:sp macro="" textlink="">
      <xdr:nvSpPr>
        <xdr:cNvPr id="553578" name="Line 14">
          <a:extLst>
            <a:ext uri="{FF2B5EF4-FFF2-40B4-BE49-F238E27FC236}">
              <a16:creationId xmlns:a16="http://schemas.microsoft.com/office/drawing/2014/main" id="{2B1401BE-CBCE-479F-9423-28EDDFB64AF1}"/>
            </a:ext>
          </a:extLst>
        </xdr:cNvPr>
        <xdr:cNvSpPr>
          <a:spLocks noChangeShapeType="1"/>
        </xdr:cNvSpPr>
      </xdr:nvSpPr>
      <xdr:spPr bwMode="auto">
        <a:xfrm flipH="1">
          <a:off x="1206500" y="1981200"/>
          <a:ext cx="57150" cy="25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152400</xdr:colOff>
      <xdr:row>20</xdr:row>
      <xdr:rowOff>146050</xdr:rowOff>
    </xdr:from>
    <xdr:to>
      <xdr:col>2</xdr:col>
      <xdr:colOff>349250</xdr:colOff>
      <xdr:row>22</xdr:row>
      <xdr:rowOff>50800</xdr:rowOff>
    </xdr:to>
    <xdr:sp macro="" textlink="">
      <xdr:nvSpPr>
        <xdr:cNvPr id="553579" name="AutoShape 15">
          <a:extLst>
            <a:ext uri="{FF2B5EF4-FFF2-40B4-BE49-F238E27FC236}">
              <a16:creationId xmlns:a16="http://schemas.microsoft.com/office/drawing/2014/main" id="{0A6BDF95-207F-438C-B7C8-763A79FD487D}"/>
            </a:ext>
          </a:extLst>
        </xdr:cNvPr>
        <xdr:cNvSpPr>
          <a:spLocks noChangeArrowheads="1"/>
        </xdr:cNvSpPr>
      </xdr:nvSpPr>
      <xdr:spPr bwMode="auto">
        <a:xfrm>
          <a:off x="1384300" y="3397250"/>
          <a:ext cx="196850" cy="222250"/>
        </a:xfrm>
        <a:prstGeom prst="triangle">
          <a:avLst>
            <a:gd name="adj" fmla="val 50000"/>
          </a:avLst>
        </a:prstGeom>
        <a:solidFill>
          <a:srgbClr val="969696"/>
        </a:solidFill>
        <a:ln w="9525">
          <a:solidFill>
            <a:srgbClr val="000000"/>
          </a:solidFill>
          <a:miter lim="800000"/>
          <a:headEnd/>
          <a:tailEnd/>
        </a:ln>
      </xdr:spPr>
    </xdr:sp>
    <xdr:clientData/>
  </xdr:twoCellAnchor>
  <xdr:twoCellAnchor>
    <xdr:from>
      <xdr:col>1</xdr:col>
      <xdr:colOff>463550</xdr:colOff>
      <xdr:row>5</xdr:row>
      <xdr:rowOff>107950</xdr:rowOff>
    </xdr:from>
    <xdr:to>
      <xdr:col>2</xdr:col>
      <xdr:colOff>139700</xdr:colOff>
      <xdr:row>6</xdr:row>
      <xdr:rowOff>107950</xdr:rowOff>
    </xdr:to>
    <xdr:sp macro="" textlink="">
      <xdr:nvSpPr>
        <xdr:cNvPr id="553580" name="Line 16">
          <a:extLst>
            <a:ext uri="{FF2B5EF4-FFF2-40B4-BE49-F238E27FC236}">
              <a16:creationId xmlns:a16="http://schemas.microsoft.com/office/drawing/2014/main" id="{3B5D90CF-ECFC-4944-A75A-E71CDFA81819}"/>
            </a:ext>
          </a:extLst>
        </xdr:cNvPr>
        <xdr:cNvSpPr>
          <a:spLocks noChangeShapeType="1"/>
        </xdr:cNvSpPr>
      </xdr:nvSpPr>
      <xdr:spPr bwMode="auto">
        <a:xfrm flipH="1">
          <a:off x="1079500" y="977900"/>
          <a:ext cx="292100" cy="1587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406400</xdr:colOff>
      <xdr:row>3</xdr:row>
      <xdr:rowOff>146050</xdr:rowOff>
    </xdr:from>
    <xdr:to>
      <xdr:col>3</xdr:col>
      <xdr:colOff>82550</xdr:colOff>
      <xdr:row>4</xdr:row>
      <xdr:rowOff>133350</xdr:rowOff>
    </xdr:to>
    <xdr:sp macro="" textlink="">
      <xdr:nvSpPr>
        <xdr:cNvPr id="553581" name="Line 17">
          <a:extLst>
            <a:ext uri="{FF2B5EF4-FFF2-40B4-BE49-F238E27FC236}">
              <a16:creationId xmlns:a16="http://schemas.microsoft.com/office/drawing/2014/main" id="{B379280F-F97D-490E-AAAA-C8065709D34E}"/>
            </a:ext>
          </a:extLst>
        </xdr:cNvPr>
        <xdr:cNvSpPr>
          <a:spLocks noChangeShapeType="1"/>
        </xdr:cNvSpPr>
      </xdr:nvSpPr>
      <xdr:spPr bwMode="auto">
        <a:xfrm flipH="1">
          <a:off x="1638300" y="698500"/>
          <a:ext cx="292100" cy="1460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254000</xdr:colOff>
      <xdr:row>5</xdr:row>
      <xdr:rowOff>146050</xdr:rowOff>
    </xdr:from>
    <xdr:to>
      <xdr:col>2</xdr:col>
      <xdr:colOff>463550</xdr:colOff>
      <xdr:row>6</xdr:row>
      <xdr:rowOff>63500</xdr:rowOff>
    </xdr:to>
    <xdr:sp macro="" textlink="">
      <xdr:nvSpPr>
        <xdr:cNvPr id="553582" name="AutoShape 18">
          <a:extLst>
            <a:ext uri="{FF2B5EF4-FFF2-40B4-BE49-F238E27FC236}">
              <a16:creationId xmlns:a16="http://schemas.microsoft.com/office/drawing/2014/main" id="{693F2656-0098-4500-A51B-4D7176C71317}"/>
            </a:ext>
          </a:extLst>
        </xdr:cNvPr>
        <xdr:cNvSpPr>
          <a:spLocks noChangeArrowheads="1"/>
        </xdr:cNvSpPr>
      </xdr:nvSpPr>
      <xdr:spPr bwMode="auto">
        <a:xfrm rot="3473625">
          <a:off x="1552575" y="949325"/>
          <a:ext cx="76200" cy="209550"/>
        </a:xfrm>
        <a:prstGeom prst="moon">
          <a:avLst>
            <a:gd name="adj" fmla="val 50000"/>
          </a:avLst>
        </a:prstGeom>
        <a:solidFill>
          <a:srgbClr val="FFFFFF"/>
        </a:solidFill>
        <a:ln w="9525">
          <a:solidFill>
            <a:srgbClr val="000000"/>
          </a:solidFill>
          <a:miter lim="800000"/>
          <a:headEnd/>
          <a:tailEnd/>
        </a:ln>
      </xdr:spPr>
    </xdr:sp>
    <xdr:clientData/>
  </xdr:twoCellAnchor>
  <xdr:twoCellAnchor>
    <xdr:from>
      <xdr:col>6</xdr:col>
      <xdr:colOff>114300</xdr:colOff>
      <xdr:row>4</xdr:row>
      <xdr:rowOff>82550</xdr:rowOff>
    </xdr:from>
    <xdr:to>
      <xdr:col>6</xdr:col>
      <xdr:colOff>393700</xdr:colOff>
      <xdr:row>5</xdr:row>
      <xdr:rowOff>146050</xdr:rowOff>
    </xdr:to>
    <xdr:sp macro="" textlink="">
      <xdr:nvSpPr>
        <xdr:cNvPr id="553583" name="Rectangle 19">
          <a:extLst>
            <a:ext uri="{FF2B5EF4-FFF2-40B4-BE49-F238E27FC236}">
              <a16:creationId xmlns:a16="http://schemas.microsoft.com/office/drawing/2014/main" id="{19B0F375-E839-46B0-93FC-EDCF0D5BD6A6}"/>
            </a:ext>
          </a:extLst>
        </xdr:cNvPr>
        <xdr:cNvSpPr>
          <a:spLocks noChangeArrowheads="1"/>
        </xdr:cNvSpPr>
      </xdr:nvSpPr>
      <xdr:spPr bwMode="auto">
        <a:xfrm rot="-1662453">
          <a:off x="3879850" y="793750"/>
          <a:ext cx="279400" cy="222250"/>
        </a:xfrm>
        <a:prstGeom prst="rect">
          <a:avLst/>
        </a:prstGeom>
        <a:solidFill>
          <a:srgbClr val="3366FF"/>
        </a:solidFill>
        <a:ln w="9525">
          <a:solidFill>
            <a:srgbClr val="000000"/>
          </a:solidFill>
          <a:miter lim="800000"/>
          <a:headEnd/>
          <a:tailEnd/>
        </a:ln>
      </xdr:spPr>
    </xdr:sp>
    <xdr:clientData/>
  </xdr:twoCellAnchor>
  <xdr:twoCellAnchor>
    <xdr:from>
      <xdr:col>6</xdr:col>
      <xdr:colOff>152400</xdr:colOff>
      <xdr:row>3</xdr:row>
      <xdr:rowOff>95250</xdr:rowOff>
    </xdr:from>
    <xdr:to>
      <xdr:col>6</xdr:col>
      <xdr:colOff>152400</xdr:colOff>
      <xdr:row>4</xdr:row>
      <xdr:rowOff>107950</xdr:rowOff>
    </xdr:to>
    <xdr:sp macro="" textlink="">
      <xdr:nvSpPr>
        <xdr:cNvPr id="553584" name="Line 20">
          <a:extLst>
            <a:ext uri="{FF2B5EF4-FFF2-40B4-BE49-F238E27FC236}">
              <a16:creationId xmlns:a16="http://schemas.microsoft.com/office/drawing/2014/main" id="{62682AD6-302A-41EA-B66F-DB1D947F2C66}"/>
            </a:ext>
          </a:extLst>
        </xdr:cNvPr>
        <xdr:cNvSpPr>
          <a:spLocks noChangeShapeType="1"/>
        </xdr:cNvSpPr>
      </xdr:nvSpPr>
      <xdr:spPr bwMode="auto">
        <a:xfrm rot="-1651313">
          <a:off x="3917950" y="647700"/>
          <a:ext cx="0" cy="17145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603250</xdr:colOff>
      <xdr:row>20</xdr:row>
      <xdr:rowOff>38100</xdr:rowOff>
    </xdr:from>
    <xdr:to>
      <xdr:col>6</xdr:col>
      <xdr:colOff>520700</xdr:colOff>
      <xdr:row>20</xdr:row>
      <xdr:rowOff>120650</xdr:rowOff>
    </xdr:to>
    <xdr:sp macro="" textlink="">
      <xdr:nvSpPr>
        <xdr:cNvPr id="553585" name="AutoShape 21">
          <a:extLst>
            <a:ext uri="{FF2B5EF4-FFF2-40B4-BE49-F238E27FC236}">
              <a16:creationId xmlns:a16="http://schemas.microsoft.com/office/drawing/2014/main" id="{5FAC5620-CEE5-41C2-A1F4-43B0288D3282}"/>
            </a:ext>
          </a:extLst>
        </xdr:cNvPr>
        <xdr:cNvSpPr>
          <a:spLocks noChangeArrowheads="1"/>
        </xdr:cNvSpPr>
      </xdr:nvSpPr>
      <xdr:spPr bwMode="auto">
        <a:xfrm rot="-6288120">
          <a:off x="3978275" y="3063875"/>
          <a:ext cx="82550" cy="533400"/>
        </a:xfrm>
        <a:prstGeom prst="moon">
          <a:avLst>
            <a:gd name="adj" fmla="val 50000"/>
          </a:avLst>
        </a:prstGeom>
        <a:solidFill>
          <a:srgbClr val="969696"/>
        </a:solidFill>
        <a:ln w="9525">
          <a:solidFill>
            <a:srgbClr val="000000"/>
          </a:solidFill>
          <a:miter lim="800000"/>
          <a:headEnd/>
          <a:tailEnd/>
        </a:ln>
      </xdr:spPr>
    </xdr:sp>
    <xdr:clientData/>
  </xdr:twoCellAnchor>
  <xdr:twoCellAnchor>
    <xdr:from>
      <xdr:col>6</xdr:col>
      <xdr:colOff>241300</xdr:colOff>
      <xdr:row>5</xdr:row>
      <xdr:rowOff>25400</xdr:rowOff>
    </xdr:from>
    <xdr:to>
      <xdr:col>6</xdr:col>
      <xdr:colOff>254000</xdr:colOff>
      <xdr:row>20</xdr:row>
      <xdr:rowOff>63500</xdr:rowOff>
    </xdr:to>
    <xdr:sp macro="" textlink="">
      <xdr:nvSpPr>
        <xdr:cNvPr id="553586" name="Line 22">
          <a:extLst>
            <a:ext uri="{FF2B5EF4-FFF2-40B4-BE49-F238E27FC236}">
              <a16:creationId xmlns:a16="http://schemas.microsoft.com/office/drawing/2014/main" id="{2D877D9A-C02B-4803-83E0-03A1FE85AA2C}"/>
            </a:ext>
          </a:extLst>
        </xdr:cNvPr>
        <xdr:cNvSpPr>
          <a:spLocks noChangeShapeType="1"/>
        </xdr:cNvSpPr>
      </xdr:nvSpPr>
      <xdr:spPr bwMode="auto">
        <a:xfrm flipH="1">
          <a:off x="4006850" y="895350"/>
          <a:ext cx="12700" cy="2419350"/>
        </a:xfrm>
        <a:prstGeom prst="line">
          <a:avLst/>
        </a:prstGeom>
        <a:noFill/>
        <a:ln w="2857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254000</xdr:colOff>
      <xdr:row>5</xdr:row>
      <xdr:rowOff>25400</xdr:rowOff>
    </xdr:from>
    <xdr:to>
      <xdr:col>7</xdr:col>
      <xdr:colOff>292100</xdr:colOff>
      <xdr:row>13</xdr:row>
      <xdr:rowOff>107950</xdr:rowOff>
    </xdr:to>
    <xdr:sp macro="" textlink="">
      <xdr:nvSpPr>
        <xdr:cNvPr id="553587" name="Line 23">
          <a:extLst>
            <a:ext uri="{FF2B5EF4-FFF2-40B4-BE49-F238E27FC236}">
              <a16:creationId xmlns:a16="http://schemas.microsoft.com/office/drawing/2014/main" id="{04B4C6BC-EE06-41AF-90A8-F121CBED623C}"/>
            </a:ext>
          </a:extLst>
        </xdr:cNvPr>
        <xdr:cNvSpPr>
          <a:spLocks noChangeShapeType="1"/>
        </xdr:cNvSpPr>
      </xdr:nvSpPr>
      <xdr:spPr bwMode="auto">
        <a:xfrm>
          <a:off x="4019550" y="895350"/>
          <a:ext cx="654050" cy="13525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5</xdr:col>
      <xdr:colOff>546100</xdr:colOff>
      <xdr:row>11</xdr:row>
      <xdr:rowOff>50800</xdr:rowOff>
    </xdr:from>
    <xdr:to>
      <xdr:col>6</xdr:col>
      <xdr:colOff>222250</xdr:colOff>
      <xdr:row>20</xdr:row>
      <xdr:rowOff>50800</xdr:rowOff>
    </xdr:to>
    <xdr:sp macro="" textlink="">
      <xdr:nvSpPr>
        <xdr:cNvPr id="553588" name="Line 24">
          <a:extLst>
            <a:ext uri="{FF2B5EF4-FFF2-40B4-BE49-F238E27FC236}">
              <a16:creationId xmlns:a16="http://schemas.microsoft.com/office/drawing/2014/main" id="{4A74CDC6-6EAA-4520-A608-47253242A360}"/>
            </a:ext>
          </a:extLst>
        </xdr:cNvPr>
        <xdr:cNvSpPr>
          <a:spLocks noChangeShapeType="1"/>
        </xdr:cNvSpPr>
      </xdr:nvSpPr>
      <xdr:spPr bwMode="auto">
        <a:xfrm flipH="1" flipV="1">
          <a:off x="3695700" y="1873250"/>
          <a:ext cx="292100" cy="14287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oneCellAnchor>
    <xdr:from>
      <xdr:col>6</xdr:col>
      <xdr:colOff>492125</xdr:colOff>
      <xdr:row>12</xdr:row>
      <xdr:rowOff>82550</xdr:rowOff>
    </xdr:from>
    <xdr:ext cx="212433" cy="176972"/>
    <xdr:sp macro="" textlink="">
      <xdr:nvSpPr>
        <xdr:cNvPr id="10265" name="Text Box 25">
          <a:extLst>
            <a:ext uri="{FF2B5EF4-FFF2-40B4-BE49-F238E27FC236}">
              <a16:creationId xmlns:a16="http://schemas.microsoft.com/office/drawing/2014/main" id="{701AC448-5B6F-4EB4-BB30-F0C2EF0EBF85}"/>
            </a:ext>
          </a:extLst>
        </xdr:cNvPr>
        <xdr:cNvSpPr txBox="1">
          <a:spLocks noChangeArrowheads="1"/>
        </xdr:cNvSpPr>
      </xdr:nvSpPr>
      <xdr:spPr bwMode="auto">
        <a:xfrm>
          <a:off x="4651375" y="1981200"/>
          <a:ext cx="14484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3</a:t>
          </a:r>
        </a:p>
      </xdr:txBody>
    </xdr:sp>
    <xdr:clientData/>
  </xdr:oneCellAnchor>
  <xdr:twoCellAnchor>
    <xdr:from>
      <xdr:col>6</xdr:col>
      <xdr:colOff>266700</xdr:colOff>
      <xdr:row>13</xdr:row>
      <xdr:rowOff>50800</xdr:rowOff>
    </xdr:from>
    <xdr:to>
      <xdr:col>6</xdr:col>
      <xdr:colOff>463550</xdr:colOff>
      <xdr:row>13</xdr:row>
      <xdr:rowOff>101600</xdr:rowOff>
    </xdr:to>
    <xdr:sp macro="" textlink="">
      <xdr:nvSpPr>
        <xdr:cNvPr id="553590" name="Line 26">
          <a:extLst>
            <a:ext uri="{FF2B5EF4-FFF2-40B4-BE49-F238E27FC236}">
              <a16:creationId xmlns:a16="http://schemas.microsoft.com/office/drawing/2014/main" id="{8533A375-505A-4365-960A-6BDD038A498E}"/>
            </a:ext>
          </a:extLst>
        </xdr:cNvPr>
        <xdr:cNvSpPr>
          <a:spLocks noChangeShapeType="1"/>
        </xdr:cNvSpPr>
      </xdr:nvSpPr>
      <xdr:spPr bwMode="auto">
        <a:xfrm flipH="1">
          <a:off x="4032250" y="2190750"/>
          <a:ext cx="196850" cy="508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25400</xdr:colOff>
      <xdr:row>12</xdr:row>
      <xdr:rowOff>50800</xdr:rowOff>
    </xdr:from>
    <xdr:to>
      <xdr:col>7</xdr:col>
      <xdr:colOff>165100</xdr:colOff>
      <xdr:row>12</xdr:row>
      <xdr:rowOff>133350</xdr:rowOff>
    </xdr:to>
    <xdr:sp macro="" textlink="">
      <xdr:nvSpPr>
        <xdr:cNvPr id="553591" name="Line 27">
          <a:extLst>
            <a:ext uri="{FF2B5EF4-FFF2-40B4-BE49-F238E27FC236}">
              <a16:creationId xmlns:a16="http://schemas.microsoft.com/office/drawing/2014/main" id="{9983E59B-9B6A-473D-8ADE-B3733E83261C}"/>
            </a:ext>
          </a:extLst>
        </xdr:cNvPr>
        <xdr:cNvSpPr>
          <a:spLocks noChangeShapeType="1"/>
        </xdr:cNvSpPr>
      </xdr:nvSpPr>
      <xdr:spPr bwMode="auto">
        <a:xfrm flipV="1">
          <a:off x="4406900" y="2032000"/>
          <a:ext cx="139700" cy="825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6</xdr:col>
      <xdr:colOff>9525</xdr:colOff>
      <xdr:row>11</xdr:row>
      <xdr:rowOff>47625</xdr:rowOff>
    </xdr:from>
    <xdr:ext cx="146707" cy="176972"/>
    <xdr:sp macro="" textlink="">
      <xdr:nvSpPr>
        <xdr:cNvPr id="10268" name="Text Box 28">
          <a:extLst>
            <a:ext uri="{FF2B5EF4-FFF2-40B4-BE49-F238E27FC236}">
              <a16:creationId xmlns:a16="http://schemas.microsoft.com/office/drawing/2014/main" id="{0C82532D-18BE-4C44-B520-3F1A96539333}"/>
            </a:ext>
          </a:extLst>
        </xdr:cNvPr>
        <xdr:cNvSpPr txBox="1">
          <a:spLocks noChangeArrowheads="1"/>
        </xdr:cNvSpPr>
      </xdr:nvSpPr>
      <xdr:spPr bwMode="auto">
        <a:xfrm>
          <a:off x="4149725" y="1800225"/>
          <a:ext cx="146707"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4</a:t>
          </a:r>
        </a:p>
      </xdr:txBody>
    </xdr:sp>
    <xdr:clientData/>
  </xdr:oneCellAnchor>
  <xdr:twoCellAnchor>
    <xdr:from>
      <xdr:col>6</xdr:col>
      <xdr:colOff>165100</xdr:colOff>
      <xdr:row>11</xdr:row>
      <xdr:rowOff>63500</xdr:rowOff>
    </xdr:from>
    <xdr:to>
      <xdr:col>6</xdr:col>
      <xdr:colOff>260350</xdr:colOff>
      <xdr:row>11</xdr:row>
      <xdr:rowOff>88900</xdr:rowOff>
    </xdr:to>
    <xdr:sp macro="" textlink="">
      <xdr:nvSpPr>
        <xdr:cNvPr id="553593" name="Line 29">
          <a:extLst>
            <a:ext uri="{FF2B5EF4-FFF2-40B4-BE49-F238E27FC236}">
              <a16:creationId xmlns:a16="http://schemas.microsoft.com/office/drawing/2014/main" id="{F6DF1080-946C-4D7B-873E-6AF4F91AACC0}"/>
            </a:ext>
          </a:extLst>
        </xdr:cNvPr>
        <xdr:cNvSpPr>
          <a:spLocks noChangeShapeType="1"/>
        </xdr:cNvSpPr>
      </xdr:nvSpPr>
      <xdr:spPr bwMode="auto">
        <a:xfrm flipV="1">
          <a:off x="3930650" y="1885950"/>
          <a:ext cx="95250" cy="25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571500</xdr:colOff>
      <xdr:row>11</xdr:row>
      <xdr:rowOff>146050</xdr:rowOff>
    </xdr:from>
    <xdr:to>
      <xdr:col>6</xdr:col>
      <xdr:colOff>25400</xdr:colOff>
      <xdr:row>12</xdr:row>
      <xdr:rowOff>12700</xdr:rowOff>
    </xdr:to>
    <xdr:sp macro="" textlink="">
      <xdr:nvSpPr>
        <xdr:cNvPr id="553594" name="Line 30">
          <a:extLst>
            <a:ext uri="{FF2B5EF4-FFF2-40B4-BE49-F238E27FC236}">
              <a16:creationId xmlns:a16="http://schemas.microsoft.com/office/drawing/2014/main" id="{F9E5FA58-AAF6-4B0C-8A76-BCA928B2453F}"/>
            </a:ext>
          </a:extLst>
        </xdr:cNvPr>
        <xdr:cNvSpPr>
          <a:spLocks noChangeShapeType="1"/>
        </xdr:cNvSpPr>
      </xdr:nvSpPr>
      <xdr:spPr bwMode="auto">
        <a:xfrm flipH="1">
          <a:off x="3721100" y="1968500"/>
          <a:ext cx="69850" cy="25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139700</xdr:colOff>
      <xdr:row>20</xdr:row>
      <xdr:rowOff>146050</xdr:rowOff>
    </xdr:from>
    <xdr:to>
      <xdr:col>6</xdr:col>
      <xdr:colOff>323850</xdr:colOff>
      <xdr:row>22</xdr:row>
      <xdr:rowOff>50800</xdr:rowOff>
    </xdr:to>
    <xdr:sp macro="" textlink="">
      <xdr:nvSpPr>
        <xdr:cNvPr id="553595" name="AutoShape 31">
          <a:extLst>
            <a:ext uri="{FF2B5EF4-FFF2-40B4-BE49-F238E27FC236}">
              <a16:creationId xmlns:a16="http://schemas.microsoft.com/office/drawing/2014/main" id="{796E4B56-DAED-4042-9468-AD675CDDBC71}"/>
            </a:ext>
          </a:extLst>
        </xdr:cNvPr>
        <xdr:cNvSpPr>
          <a:spLocks noChangeArrowheads="1"/>
        </xdr:cNvSpPr>
      </xdr:nvSpPr>
      <xdr:spPr bwMode="auto">
        <a:xfrm>
          <a:off x="3905250" y="3397250"/>
          <a:ext cx="184150" cy="222250"/>
        </a:xfrm>
        <a:prstGeom prst="triangle">
          <a:avLst>
            <a:gd name="adj" fmla="val 50000"/>
          </a:avLst>
        </a:prstGeom>
        <a:solidFill>
          <a:srgbClr val="969696"/>
        </a:solidFill>
        <a:ln w="9525">
          <a:solidFill>
            <a:srgbClr val="000000"/>
          </a:solidFill>
          <a:miter lim="800000"/>
          <a:headEnd/>
          <a:tailEnd/>
        </a:ln>
      </xdr:spPr>
    </xdr:sp>
    <xdr:clientData/>
  </xdr:twoCellAnchor>
  <xdr:twoCellAnchor>
    <xdr:from>
      <xdr:col>5</xdr:col>
      <xdr:colOff>444500</xdr:colOff>
      <xdr:row>5</xdr:row>
      <xdr:rowOff>107950</xdr:rowOff>
    </xdr:from>
    <xdr:to>
      <xdr:col>6</xdr:col>
      <xdr:colOff>114300</xdr:colOff>
      <xdr:row>6</xdr:row>
      <xdr:rowOff>95250</xdr:rowOff>
    </xdr:to>
    <xdr:sp macro="" textlink="">
      <xdr:nvSpPr>
        <xdr:cNvPr id="553596" name="Line 32">
          <a:extLst>
            <a:ext uri="{FF2B5EF4-FFF2-40B4-BE49-F238E27FC236}">
              <a16:creationId xmlns:a16="http://schemas.microsoft.com/office/drawing/2014/main" id="{29AA995C-FF6D-482D-AD13-33D66D708A28}"/>
            </a:ext>
          </a:extLst>
        </xdr:cNvPr>
        <xdr:cNvSpPr>
          <a:spLocks noChangeShapeType="1"/>
        </xdr:cNvSpPr>
      </xdr:nvSpPr>
      <xdr:spPr bwMode="auto">
        <a:xfrm flipH="1">
          <a:off x="3594100" y="977900"/>
          <a:ext cx="285750" cy="1460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381000</xdr:colOff>
      <xdr:row>3</xdr:row>
      <xdr:rowOff>133350</xdr:rowOff>
    </xdr:from>
    <xdr:to>
      <xdr:col>7</xdr:col>
      <xdr:colOff>57150</xdr:colOff>
      <xdr:row>4</xdr:row>
      <xdr:rowOff>120650</xdr:rowOff>
    </xdr:to>
    <xdr:sp macro="" textlink="">
      <xdr:nvSpPr>
        <xdr:cNvPr id="553597" name="Line 33">
          <a:extLst>
            <a:ext uri="{FF2B5EF4-FFF2-40B4-BE49-F238E27FC236}">
              <a16:creationId xmlns:a16="http://schemas.microsoft.com/office/drawing/2014/main" id="{D990D1EC-A6A4-480F-B6BB-7FA1022C5571}"/>
            </a:ext>
          </a:extLst>
        </xdr:cNvPr>
        <xdr:cNvSpPr>
          <a:spLocks noChangeShapeType="1"/>
        </xdr:cNvSpPr>
      </xdr:nvSpPr>
      <xdr:spPr bwMode="auto">
        <a:xfrm flipH="1">
          <a:off x="4146550" y="685800"/>
          <a:ext cx="292100" cy="1460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241300</xdr:colOff>
      <xdr:row>5</xdr:row>
      <xdr:rowOff>146050</xdr:rowOff>
    </xdr:from>
    <xdr:to>
      <xdr:col>6</xdr:col>
      <xdr:colOff>444500</xdr:colOff>
      <xdr:row>6</xdr:row>
      <xdr:rowOff>50800</xdr:rowOff>
    </xdr:to>
    <xdr:sp macro="" textlink="">
      <xdr:nvSpPr>
        <xdr:cNvPr id="553598" name="AutoShape 34">
          <a:extLst>
            <a:ext uri="{FF2B5EF4-FFF2-40B4-BE49-F238E27FC236}">
              <a16:creationId xmlns:a16="http://schemas.microsoft.com/office/drawing/2014/main" id="{7414E02F-9E99-4B95-A10D-58849B69B454}"/>
            </a:ext>
          </a:extLst>
        </xdr:cNvPr>
        <xdr:cNvSpPr>
          <a:spLocks noChangeArrowheads="1"/>
        </xdr:cNvSpPr>
      </xdr:nvSpPr>
      <xdr:spPr bwMode="auto">
        <a:xfrm rot="3473625">
          <a:off x="4076700" y="946150"/>
          <a:ext cx="63500" cy="203200"/>
        </a:xfrm>
        <a:prstGeom prst="moon">
          <a:avLst>
            <a:gd name="adj" fmla="val 50000"/>
          </a:avLst>
        </a:prstGeom>
        <a:solidFill>
          <a:srgbClr val="FFFFFF"/>
        </a:solidFill>
        <a:ln w="9525">
          <a:solidFill>
            <a:srgbClr val="000000"/>
          </a:solidFill>
          <a:miter lim="800000"/>
          <a:headEnd/>
          <a:tailEnd/>
        </a:ln>
      </xdr:spPr>
    </xdr:sp>
    <xdr:clientData/>
  </xdr:twoCellAnchor>
  <xdr:oneCellAnchor>
    <xdr:from>
      <xdr:col>1</xdr:col>
      <xdr:colOff>600075</xdr:colOff>
      <xdr:row>3</xdr:row>
      <xdr:rowOff>82550</xdr:rowOff>
    </xdr:from>
    <xdr:ext cx="140328" cy="146194"/>
    <xdr:sp macro="" textlink="">
      <xdr:nvSpPr>
        <xdr:cNvPr id="10275" name="Text Box 35">
          <a:extLst>
            <a:ext uri="{FF2B5EF4-FFF2-40B4-BE49-F238E27FC236}">
              <a16:creationId xmlns:a16="http://schemas.microsoft.com/office/drawing/2014/main" id="{64E282C4-F0D3-4AFB-8A30-C8785C322061}"/>
            </a:ext>
          </a:extLst>
        </xdr:cNvPr>
        <xdr:cNvSpPr txBox="1">
          <a:spLocks noChangeArrowheads="1"/>
        </xdr:cNvSpPr>
      </xdr:nvSpPr>
      <xdr:spPr bwMode="auto">
        <a:xfrm>
          <a:off x="1340908" y="609600"/>
          <a:ext cx="146707" cy="146194"/>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1" i="0" strike="noStrike">
              <a:solidFill>
                <a:srgbClr val="000000"/>
              </a:solidFill>
              <a:latin typeface="Arial"/>
              <a:cs typeface="Arial"/>
            </a:rPr>
            <a:t>+Z</a:t>
          </a:r>
        </a:p>
      </xdr:txBody>
    </xdr:sp>
    <xdr:clientData/>
  </xdr:oneCellAnchor>
  <xdr:oneCellAnchor>
    <xdr:from>
      <xdr:col>1</xdr:col>
      <xdr:colOff>349250</xdr:colOff>
      <xdr:row>6</xdr:row>
      <xdr:rowOff>38100</xdr:rowOff>
    </xdr:from>
    <xdr:ext cx="146771" cy="141001"/>
    <xdr:sp macro="" textlink="">
      <xdr:nvSpPr>
        <xdr:cNvPr id="10276" name="Text Box 36">
          <a:extLst>
            <a:ext uri="{FF2B5EF4-FFF2-40B4-BE49-F238E27FC236}">
              <a16:creationId xmlns:a16="http://schemas.microsoft.com/office/drawing/2014/main" id="{6B5AC0F5-DFF3-4200-906F-83A5A16C91BC}"/>
            </a:ext>
          </a:extLst>
        </xdr:cNvPr>
        <xdr:cNvSpPr txBox="1">
          <a:spLocks noChangeArrowheads="1"/>
        </xdr:cNvSpPr>
      </xdr:nvSpPr>
      <xdr:spPr bwMode="auto">
        <a:xfrm>
          <a:off x="967317" y="1079500"/>
          <a:ext cx="146771" cy="141001"/>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1" i="0" strike="noStrike">
              <a:solidFill>
                <a:srgbClr val="000000"/>
              </a:solidFill>
              <a:latin typeface="Arial"/>
              <a:cs typeface="Arial"/>
            </a:rPr>
            <a:t>+X</a:t>
          </a:r>
        </a:p>
      </xdr:txBody>
    </xdr:sp>
    <xdr:clientData/>
  </xdr:oneCellAnchor>
  <xdr:oneCellAnchor>
    <xdr:from>
      <xdr:col>2</xdr:col>
      <xdr:colOff>377825</xdr:colOff>
      <xdr:row>6</xdr:row>
      <xdr:rowOff>149225</xdr:rowOff>
    </xdr:from>
    <xdr:ext cx="115288" cy="141001"/>
    <xdr:sp macro="" textlink="">
      <xdr:nvSpPr>
        <xdr:cNvPr id="10277" name="Text Box 37">
          <a:extLst>
            <a:ext uri="{FF2B5EF4-FFF2-40B4-BE49-F238E27FC236}">
              <a16:creationId xmlns:a16="http://schemas.microsoft.com/office/drawing/2014/main" id="{7BDF0971-8989-42D6-B753-53CCEA14528D}"/>
            </a:ext>
          </a:extLst>
        </xdr:cNvPr>
        <xdr:cNvSpPr txBox="1">
          <a:spLocks noChangeArrowheads="1"/>
        </xdr:cNvSpPr>
      </xdr:nvSpPr>
      <xdr:spPr bwMode="auto">
        <a:xfrm>
          <a:off x="1613958" y="1190625"/>
          <a:ext cx="115288" cy="141001"/>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1" i="0" strike="noStrike">
              <a:solidFill>
                <a:srgbClr val="000000"/>
              </a:solidFill>
              <a:latin typeface="Arial"/>
              <a:cs typeface="Arial"/>
            </a:rPr>
            <a:t>-Z</a:t>
          </a:r>
        </a:p>
      </xdr:txBody>
    </xdr:sp>
    <xdr:clientData/>
  </xdr:oneCellAnchor>
  <xdr:oneCellAnchor>
    <xdr:from>
      <xdr:col>5</xdr:col>
      <xdr:colOff>584200</xdr:colOff>
      <xdr:row>2</xdr:row>
      <xdr:rowOff>117475</xdr:rowOff>
    </xdr:from>
    <xdr:ext cx="169871" cy="158907"/>
    <xdr:sp macro="" textlink="">
      <xdr:nvSpPr>
        <xdr:cNvPr id="10278" name="Text Box 38">
          <a:extLst>
            <a:ext uri="{FF2B5EF4-FFF2-40B4-BE49-F238E27FC236}">
              <a16:creationId xmlns:a16="http://schemas.microsoft.com/office/drawing/2014/main" id="{6D5FBAFE-C942-4DBD-8B61-86D3967B2E66}"/>
            </a:ext>
          </a:extLst>
        </xdr:cNvPr>
        <xdr:cNvSpPr txBox="1">
          <a:spLocks noChangeArrowheads="1"/>
        </xdr:cNvSpPr>
      </xdr:nvSpPr>
      <xdr:spPr bwMode="auto">
        <a:xfrm>
          <a:off x="4097867" y="492125"/>
          <a:ext cx="146707" cy="146194"/>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1" i="0" strike="noStrike">
              <a:solidFill>
                <a:srgbClr val="000000"/>
              </a:solidFill>
              <a:latin typeface="Arial"/>
              <a:cs typeface="Arial"/>
            </a:rPr>
            <a:t>+Z</a:t>
          </a:r>
        </a:p>
      </xdr:txBody>
    </xdr:sp>
    <xdr:clientData/>
  </xdr:oneCellAnchor>
  <xdr:oneCellAnchor>
    <xdr:from>
      <xdr:col>5</xdr:col>
      <xdr:colOff>307975</xdr:colOff>
      <xdr:row>6</xdr:row>
      <xdr:rowOff>28575</xdr:rowOff>
    </xdr:from>
    <xdr:ext cx="146771" cy="141001"/>
    <xdr:sp macro="" textlink="">
      <xdr:nvSpPr>
        <xdr:cNvPr id="10279" name="Text Box 39">
          <a:extLst>
            <a:ext uri="{FF2B5EF4-FFF2-40B4-BE49-F238E27FC236}">
              <a16:creationId xmlns:a16="http://schemas.microsoft.com/office/drawing/2014/main" id="{661A853A-4458-4AF3-ABC5-7EDA78F2F6E8}"/>
            </a:ext>
          </a:extLst>
        </xdr:cNvPr>
        <xdr:cNvSpPr txBox="1">
          <a:spLocks noChangeArrowheads="1"/>
        </xdr:cNvSpPr>
      </xdr:nvSpPr>
      <xdr:spPr bwMode="auto">
        <a:xfrm>
          <a:off x="3466042" y="1069975"/>
          <a:ext cx="146771" cy="141001"/>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1" i="0" strike="noStrike">
              <a:solidFill>
                <a:srgbClr val="000000"/>
              </a:solidFill>
              <a:latin typeface="Arial"/>
              <a:cs typeface="Arial"/>
            </a:rPr>
            <a:t>+X</a:t>
          </a:r>
        </a:p>
      </xdr:txBody>
    </xdr:sp>
    <xdr:clientData/>
  </xdr:oneCellAnchor>
  <xdr:oneCellAnchor>
    <xdr:from>
      <xdr:col>6</xdr:col>
      <xdr:colOff>307975</xdr:colOff>
      <xdr:row>6</xdr:row>
      <xdr:rowOff>82550</xdr:rowOff>
    </xdr:from>
    <xdr:ext cx="115288" cy="141001"/>
    <xdr:sp macro="" textlink="">
      <xdr:nvSpPr>
        <xdr:cNvPr id="10280" name="Text Box 40">
          <a:extLst>
            <a:ext uri="{FF2B5EF4-FFF2-40B4-BE49-F238E27FC236}">
              <a16:creationId xmlns:a16="http://schemas.microsoft.com/office/drawing/2014/main" id="{33F89AB5-4B08-4392-AAD0-D00207DF41C7}"/>
            </a:ext>
          </a:extLst>
        </xdr:cNvPr>
        <xdr:cNvSpPr txBox="1">
          <a:spLocks noChangeArrowheads="1"/>
        </xdr:cNvSpPr>
      </xdr:nvSpPr>
      <xdr:spPr bwMode="auto">
        <a:xfrm>
          <a:off x="4084108" y="1123950"/>
          <a:ext cx="115288" cy="141001"/>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1" i="0" strike="noStrike">
              <a:solidFill>
                <a:srgbClr val="000000"/>
              </a:solidFill>
              <a:latin typeface="Arial"/>
              <a:cs typeface="Arial"/>
            </a:rPr>
            <a:t>-Z</a:t>
          </a:r>
        </a:p>
      </xdr:txBody>
    </xdr:sp>
    <xdr:clientData/>
  </xdr:oneCellAnchor>
  <xdr:twoCellAnchor>
    <xdr:from>
      <xdr:col>4</xdr:col>
      <xdr:colOff>361950</xdr:colOff>
      <xdr:row>34</xdr:row>
      <xdr:rowOff>88900</xdr:rowOff>
    </xdr:from>
    <xdr:to>
      <xdr:col>4</xdr:col>
      <xdr:colOff>673100</xdr:colOff>
      <xdr:row>34</xdr:row>
      <xdr:rowOff>88900</xdr:rowOff>
    </xdr:to>
    <xdr:sp macro="" textlink="">
      <xdr:nvSpPr>
        <xdr:cNvPr id="553605" name="Line 41">
          <a:extLst>
            <a:ext uri="{FF2B5EF4-FFF2-40B4-BE49-F238E27FC236}">
              <a16:creationId xmlns:a16="http://schemas.microsoft.com/office/drawing/2014/main" id="{5151C48C-F6C7-4616-9785-EEB581D3CEC9}"/>
            </a:ext>
          </a:extLst>
        </xdr:cNvPr>
        <xdr:cNvSpPr>
          <a:spLocks noChangeShapeType="1"/>
        </xdr:cNvSpPr>
      </xdr:nvSpPr>
      <xdr:spPr bwMode="auto">
        <a:xfrm flipH="1" flipV="1">
          <a:off x="2825750" y="5784850"/>
          <a:ext cx="3111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361950</xdr:colOff>
      <xdr:row>34</xdr:row>
      <xdr:rowOff>88900</xdr:rowOff>
    </xdr:from>
    <xdr:to>
      <xdr:col>4</xdr:col>
      <xdr:colOff>361950</xdr:colOff>
      <xdr:row>35</xdr:row>
      <xdr:rowOff>0</xdr:rowOff>
    </xdr:to>
    <xdr:sp macro="" textlink="">
      <xdr:nvSpPr>
        <xdr:cNvPr id="553606" name="Line 42">
          <a:extLst>
            <a:ext uri="{FF2B5EF4-FFF2-40B4-BE49-F238E27FC236}">
              <a16:creationId xmlns:a16="http://schemas.microsoft.com/office/drawing/2014/main" id="{8DF003F4-DA0E-4CC0-956F-6A94E0728864}"/>
            </a:ext>
          </a:extLst>
        </xdr:cNvPr>
        <xdr:cNvSpPr>
          <a:spLocks noChangeShapeType="1"/>
        </xdr:cNvSpPr>
      </xdr:nvSpPr>
      <xdr:spPr bwMode="auto">
        <a:xfrm flipH="1">
          <a:off x="2825750" y="5784850"/>
          <a:ext cx="0" cy="762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361950</xdr:colOff>
      <xdr:row>50</xdr:row>
      <xdr:rowOff>76200</xdr:rowOff>
    </xdr:from>
    <xdr:to>
      <xdr:col>4</xdr:col>
      <xdr:colOff>673100</xdr:colOff>
      <xdr:row>50</xdr:row>
      <xdr:rowOff>76200</xdr:rowOff>
    </xdr:to>
    <xdr:sp macro="" textlink="">
      <xdr:nvSpPr>
        <xdr:cNvPr id="553607" name="Line 44">
          <a:extLst>
            <a:ext uri="{FF2B5EF4-FFF2-40B4-BE49-F238E27FC236}">
              <a16:creationId xmlns:a16="http://schemas.microsoft.com/office/drawing/2014/main" id="{E12C69AF-593B-47DD-B1AE-9929AB6CA14B}"/>
            </a:ext>
          </a:extLst>
        </xdr:cNvPr>
        <xdr:cNvSpPr>
          <a:spLocks noChangeShapeType="1"/>
        </xdr:cNvSpPr>
      </xdr:nvSpPr>
      <xdr:spPr bwMode="auto">
        <a:xfrm flipH="1" flipV="1">
          <a:off x="2825750" y="9556750"/>
          <a:ext cx="3111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361950</xdr:colOff>
      <xdr:row>50</xdr:row>
      <xdr:rowOff>76200</xdr:rowOff>
    </xdr:from>
    <xdr:to>
      <xdr:col>4</xdr:col>
      <xdr:colOff>361950</xdr:colOff>
      <xdr:row>50</xdr:row>
      <xdr:rowOff>165100</xdr:rowOff>
    </xdr:to>
    <xdr:sp macro="" textlink="">
      <xdr:nvSpPr>
        <xdr:cNvPr id="553608" name="Line 45">
          <a:extLst>
            <a:ext uri="{FF2B5EF4-FFF2-40B4-BE49-F238E27FC236}">
              <a16:creationId xmlns:a16="http://schemas.microsoft.com/office/drawing/2014/main" id="{348C3C49-AC85-4806-B9A3-28F653253B4A}"/>
            </a:ext>
          </a:extLst>
        </xdr:cNvPr>
        <xdr:cNvSpPr>
          <a:spLocks noChangeShapeType="1"/>
        </xdr:cNvSpPr>
      </xdr:nvSpPr>
      <xdr:spPr bwMode="auto">
        <a:xfrm flipH="1">
          <a:off x="2825750" y="9556750"/>
          <a:ext cx="0" cy="889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3</xdr:col>
      <xdr:colOff>428625</xdr:colOff>
      <xdr:row>8</xdr:row>
      <xdr:rowOff>117475</xdr:rowOff>
    </xdr:from>
    <xdr:ext cx="1337120" cy="146194"/>
    <xdr:sp macro="" textlink="">
      <xdr:nvSpPr>
        <xdr:cNvPr id="10287" name="Text Box 47">
          <a:extLst>
            <a:ext uri="{FF2B5EF4-FFF2-40B4-BE49-F238E27FC236}">
              <a16:creationId xmlns:a16="http://schemas.microsoft.com/office/drawing/2014/main" id="{68262CE6-A9D6-455E-8DD5-4F660CACDC9E}"/>
            </a:ext>
          </a:extLst>
        </xdr:cNvPr>
        <xdr:cNvSpPr txBox="1">
          <a:spLocks noChangeArrowheads="1"/>
        </xdr:cNvSpPr>
      </xdr:nvSpPr>
      <xdr:spPr bwMode="auto">
        <a:xfrm>
          <a:off x="2498725" y="1406525"/>
          <a:ext cx="1223925" cy="146194"/>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0" i="0" strike="noStrike">
              <a:solidFill>
                <a:srgbClr val="000000"/>
              </a:solidFill>
              <a:latin typeface="Arial"/>
              <a:cs typeface="Arial"/>
            </a:rPr>
            <a:t>Spacecraft Symmetry Axis  </a:t>
          </a:r>
        </a:p>
      </xdr:txBody>
    </xdr:sp>
    <xdr:clientData/>
  </xdr:oneCellAnchor>
  <xdr:twoCellAnchor>
    <xdr:from>
      <xdr:col>2</xdr:col>
      <xdr:colOff>603250</xdr:colOff>
      <xdr:row>9</xdr:row>
      <xdr:rowOff>25400</xdr:rowOff>
    </xdr:from>
    <xdr:to>
      <xdr:col>3</xdr:col>
      <xdr:colOff>406400</xdr:colOff>
      <xdr:row>9</xdr:row>
      <xdr:rowOff>82550</xdr:rowOff>
    </xdr:to>
    <xdr:sp macro="" textlink="">
      <xdr:nvSpPr>
        <xdr:cNvPr id="553610" name="Line 49">
          <a:extLst>
            <a:ext uri="{FF2B5EF4-FFF2-40B4-BE49-F238E27FC236}">
              <a16:creationId xmlns:a16="http://schemas.microsoft.com/office/drawing/2014/main" id="{C43EAF2E-6A2D-4DBB-8433-6A5E182CD0D7}"/>
            </a:ext>
          </a:extLst>
        </xdr:cNvPr>
        <xdr:cNvSpPr>
          <a:spLocks noChangeShapeType="1"/>
        </xdr:cNvSpPr>
      </xdr:nvSpPr>
      <xdr:spPr bwMode="auto">
        <a:xfrm flipH="1">
          <a:off x="1835150" y="1530350"/>
          <a:ext cx="419100" cy="571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488950</xdr:colOff>
      <xdr:row>7</xdr:row>
      <xdr:rowOff>133350</xdr:rowOff>
    </xdr:from>
    <xdr:to>
      <xdr:col>6</xdr:col>
      <xdr:colOff>431800</xdr:colOff>
      <xdr:row>9</xdr:row>
      <xdr:rowOff>50800</xdr:rowOff>
    </xdr:to>
    <xdr:sp macro="" textlink="">
      <xdr:nvSpPr>
        <xdr:cNvPr id="553611" name="Line 50">
          <a:extLst>
            <a:ext uri="{FF2B5EF4-FFF2-40B4-BE49-F238E27FC236}">
              <a16:creationId xmlns:a16="http://schemas.microsoft.com/office/drawing/2014/main" id="{710E4F1A-401D-4250-9097-F53C39F21FCE}"/>
            </a:ext>
          </a:extLst>
        </xdr:cNvPr>
        <xdr:cNvSpPr>
          <a:spLocks noChangeShapeType="1"/>
        </xdr:cNvSpPr>
      </xdr:nvSpPr>
      <xdr:spPr bwMode="auto">
        <a:xfrm flipV="1">
          <a:off x="3638550" y="1320800"/>
          <a:ext cx="558800" cy="2349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17</xdr:col>
      <xdr:colOff>323850</xdr:colOff>
      <xdr:row>32</xdr:row>
      <xdr:rowOff>0</xdr:rowOff>
    </xdr:from>
    <xdr:to>
      <xdr:col>17</xdr:col>
      <xdr:colOff>323850</xdr:colOff>
      <xdr:row>36</xdr:row>
      <xdr:rowOff>0</xdr:rowOff>
    </xdr:to>
    <xdr:sp macro="" textlink="">
      <xdr:nvSpPr>
        <xdr:cNvPr id="553612" name="Line 52">
          <a:extLst>
            <a:ext uri="{FF2B5EF4-FFF2-40B4-BE49-F238E27FC236}">
              <a16:creationId xmlns:a16="http://schemas.microsoft.com/office/drawing/2014/main" id="{F25BC1A8-D647-4D28-86F9-8C82F33A17BE}"/>
            </a:ext>
          </a:extLst>
        </xdr:cNvPr>
        <xdr:cNvSpPr>
          <a:spLocks noChangeShapeType="1"/>
        </xdr:cNvSpPr>
      </xdr:nvSpPr>
      <xdr:spPr bwMode="auto">
        <a:xfrm>
          <a:off x="11760200" y="5372100"/>
          <a:ext cx="0" cy="660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20</xdr:col>
      <xdr:colOff>28575</xdr:colOff>
      <xdr:row>59</xdr:row>
      <xdr:rowOff>76200</xdr:rowOff>
    </xdr:from>
    <xdr:ext cx="2310451" cy="490884"/>
    <xdr:sp macro="" textlink="">
      <xdr:nvSpPr>
        <xdr:cNvPr id="10293" name="Text Box 53">
          <a:extLst>
            <a:ext uri="{FF2B5EF4-FFF2-40B4-BE49-F238E27FC236}">
              <a16:creationId xmlns:a16="http://schemas.microsoft.com/office/drawing/2014/main" id="{86D09E31-F2F2-4849-91C8-6A967F44A93A}"/>
            </a:ext>
          </a:extLst>
        </xdr:cNvPr>
        <xdr:cNvSpPr txBox="1">
          <a:spLocks noChangeArrowheads="1"/>
        </xdr:cNvSpPr>
      </xdr:nvSpPr>
      <xdr:spPr bwMode="auto">
        <a:xfrm>
          <a:off x="14595475" y="11607800"/>
          <a:ext cx="2192790" cy="484748"/>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Link Model operator enter equation for </a:t>
          </a:r>
        </a:p>
        <a:p>
          <a:pPr algn="l" rtl="1">
            <a:defRPr sz="1000"/>
          </a:pPr>
          <a:r>
            <a:rPr lang="en-US" sz="1000" b="0" i="0" strike="noStrike">
              <a:solidFill>
                <a:srgbClr val="000000"/>
              </a:solidFill>
              <a:latin typeface="Arial"/>
              <a:cs typeface="Arial"/>
            </a:rPr>
            <a:t>functional behavior of user defined </a:t>
          </a:r>
        </a:p>
        <a:p>
          <a:pPr algn="l" rtl="1">
            <a:defRPr sz="1000"/>
          </a:pPr>
          <a:r>
            <a:rPr lang="en-US" sz="1000" b="0" i="0" strike="noStrike">
              <a:solidFill>
                <a:srgbClr val="000000"/>
              </a:solidFill>
              <a:latin typeface="Arial"/>
              <a:cs typeface="Arial"/>
            </a:rPr>
            <a:t>antenna  here.</a:t>
          </a:r>
        </a:p>
      </xdr:txBody>
    </xdr:sp>
    <xdr:clientData/>
  </xdr:oneCellAnchor>
  <xdr:twoCellAnchor>
    <xdr:from>
      <xdr:col>19</xdr:col>
      <xdr:colOff>12700</xdr:colOff>
      <xdr:row>59</xdr:row>
      <xdr:rowOff>165100</xdr:rowOff>
    </xdr:from>
    <xdr:to>
      <xdr:col>20</xdr:col>
      <xdr:colOff>0</xdr:colOff>
      <xdr:row>59</xdr:row>
      <xdr:rowOff>165100</xdr:rowOff>
    </xdr:to>
    <xdr:sp macro="" textlink="">
      <xdr:nvSpPr>
        <xdr:cNvPr id="553614" name="Line 54">
          <a:extLst>
            <a:ext uri="{FF2B5EF4-FFF2-40B4-BE49-F238E27FC236}">
              <a16:creationId xmlns:a16="http://schemas.microsoft.com/office/drawing/2014/main" id="{69415A5F-9488-4677-BD77-CADB06361AB5}"/>
            </a:ext>
          </a:extLst>
        </xdr:cNvPr>
        <xdr:cNvSpPr>
          <a:spLocks noChangeShapeType="1"/>
        </xdr:cNvSpPr>
      </xdr:nvSpPr>
      <xdr:spPr bwMode="auto">
        <a:xfrm flipH="1">
          <a:off x="12725400" y="12026900"/>
          <a:ext cx="6032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17</xdr:col>
      <xdr:colOff>615950</xdr:colOff>
      <xdr:row>51</xdr:row>
      <xdr:rowOff>158750</xdr:rowOff>
    </xdr:from>
    <xdr:to>
      <xdr:col>17</xdr:col>
      <xdr:colOff>615950</xdr:colOff>
      <xdr:row>53</xdr:row>
      <xdr:rowOff>12700</xdr:rowOff>
    </xdr:to>
    <xdr:sp macro="" textlink="">
      <xdr:nvSpPr>
        <xdr:cNvPr id="553615" name="Line 55">
          <a:extLst>
            <a:ext uri="{FF2B5EF4-FFF2-40B4-BE49-F238E27FC236}">
              <a16:creationId xmlns:a16="http://schemas.microsoft.com/office/drawing/2014/main" id="{2732ED49-7CEB-496C-A67C-62AE8BC9219B}"/>
            </a:ext>
          </a:extLst>
        </xdr:cNvPr>
        <xdr:cNvSpPr>
          <a:spLocks noChangeShapeType="1"/>
        </xdr:cNvSpPr>
      </xdr:nvSpPr>
      <xdr:spPr bwMode="auto">
        <a:xfrm>
          <a:off x="12052300" y="9804400"/>
          <a:ext cx="0" cy="1905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17</xdr:col>
      <xdr:colOff>615950</xdr:colOff>
      <xdr:row>48</xdr:row>
      <xdr:rowOff>0</xdr:rowOff>
    </xdr:from>
    <xdr:to>
      <xdr:col>17</xdr:col>
      <xdr:colOff>615950</xdr:colOff>
      <xdr:row>49</xdr:row>
      <xdr:rowOff>0</xdr:rowOff>
    </xdr:to>
    <xdr:sp macro="" textlink="">
      <xdr:nvSpPr>
        <xdr:cNvPr id="553616" name="Line 56">
          <a:extLst>
            <a:ext uri="{FF2B5EF4-FFF2-40B4-BE49-F238E27FC236}">
              <a16:creationId xmlns:a16="http://schemas.microsoft.com/office/drawing/2014/main" id="{C84D0AEC-4972-48EC-8560-2FB08D16B48B}"/>
            </a:ext>
          </a:extLst>
        </xdr:cNvPr>
        <xdr:cNvSpPr>
          <a:spLocks noChangeShapeType="1"/>
        </xdr:cNvSpPr>
      </xdr:nvSpPr>
      <xdr:spPr bwMode="auto">
        <a:xfrm flipV="1">
          <a:off x="12052300" y="9150350"/>
          <a:ext cx="0" cy="1714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266700</xdr:colOff>
      <xdr:row>66</xdr:row>
      <xdr:rowOff>0</xdr:rowOff>
    </xdr:from>
    <xdr:to>
      <xdr:col>3</xdr:col>
      <xdr:colOff>266700</xdr:colOff>
      <xdr:row>67</xdr:row>
      <xdr:rowOff>0</xdr:rowOff>
    </xdr:to>
    <xdr:sp macro="" textlink="">
      <xdr:nvSpPr>
        <xdr:cNvPr id="553617" name="Line 62">
          <a:extLst>
            <a:ext uri="{FF2B5EF4-FFF2-40B4-BE49-F238E27FC236}">
              <a16:creationId xmlns:a16="http://schemas.microsoft.com/office/drawing/2014/main" id="{A0CA9400-2E87-48AF-9ABF-C29E64BB6F6A}"/>
            </a:ext>
          </a:extLst>
        </xdr:cNvPr>
        <xdr:cNvSpPr>
          <a:spLocks noChangeShapeType="1"/>
        </xdr:cNvSpPr>
      </xdr:nvSpPr>
      <xdr:spPr bwMode="auto">
        <a:xfrm flipV="1">
          <a:off x="2114550" y="13144500"/>
          <a:ext cx="0" cy="196850"/>
        </a:xfrm>
        <a:prstGeom prst="line">
          <a:avLst/>
        </a:prstGeom>
        <a:noFill/>
        <a:ln w="3810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10</xdr:col>
      <xdr:colOff>336550</xdr:colOff>
      <xdr:row>66</xdr:row>
      <xdr:rowOff>12700</xdr:rowOff>
    </xdr:from>
    <xdr:to>
      <xdr:col>10</xdr:col>
      <xdr:colOff>349250</xdr:colOff>
      <xdr:row>67</xdr:row>
      <xdr:rowOff>0</xdr:rowOff>
    </xdr:to>
    <xdr:sp macro="" textlink="">
      <xdr:nvSpPr>
        <xdr:cNvPr id="553618" name="Line 63">
          <a:extLst>
            <a:ext uri="{FF2B5EF4-FFF2-40B4-BE49-F238E27FC236}">
              <a16:creationId xmlns:a16="http://schemas.microsoft.com/office/drawing/2014/main" id="{0B3912CF-B3D3-4ABB-9CD4-30675349E7F6}"/>
            </a:ext>
          </a:extLst>
        </xdr:cNvPr>
        <xdr:cNvSpPr>
          <a:spLocks noChangeShapeType="1"/>
        </xdr:cNvSpPr>
      </xdr:nvSpPr>
      <xdr:spPr bwMode="auto">
        <a:xfrm>
          <a:off x="6832600" y="13157200"/>
          <a:ext cx="12700" cy="184150"/>
        </a:xfrm>
        <a:prstGeom prst="line">
          <a:avLst/>
        </a:prstGeom>
        <a:noFill/>
        <a:ln w="3810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361950</xdr:colOff>
      <xdr:row>72</xdr:row>
      <xdr:rowOff>76200</xdr:rowOff>
    </xdr:from>
    <xdr:to>
      <xdr:col>4</xdr:col>
      <xdr:colOff>673100</xdr:colOff>
      <xdr:row>72</xdr:row>
      <xdr:rowOff>76200</xdr:rowOff>
    </xdr:to>
    <xdr:sp macro="" textlink="">
      <xdr:nvSpPr>
        <xdr:cNvPr id="553619" name="Line 64">
          <a:extLst>
            <a:ext uri="{FF2B5EF4-FFF2-40B4-BE49-F238E27FC236}">
              <a16:creationId xmlns:a16="http://schemas.microsoft.com/office/drawing/2014/main" id="{046E842A-A9A8-4FD3-9BE0-5531A9557F73}"/>
            </a:ext>
          </a:extLst>
        </xdr:cNvPr>
        <xdr:cNvSpPr>
          <a:spLocks noChangeShapeType="1"/>
        </xdr:cNvSpPr>
      </xdr:nvSpPr>
      <xdr:spPr bwMode="auto">
        <a:xfrm flipH="1" flipV="1">
          <a:off x="2825750" y="14268450"/>
          <a:ext cx="3111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361950</xdr:colOff>
      <xdr:row>72</xdr:row>
      <xdr:rowOff>76200</xdr:rowOff>
    </xdr:from>
    <xdr:to>
      <xdr:col>4</xdr:col>
      <xdr:colOff>361950</xdr:colOff>
      <xdr:row>72</xdr:row>
      <xdr:rowOff>165100</xdr:rowOff>
    </xdr:to>
    <xdr:sp macro="" textlink="">
      <xdr:nvSpPr>
        <xdr:cNvPr id="553620" name="Line 65">
          <a:extLst>
            <a:ext uri="{FF2B5EF4-FFF2-40B4-BE49-F238E27FC236}">
              <a16:creationId xmlns:a16="http://schemas.microsoft.com/office/drawing/2014/main" id="{3A173306-DA81-4A2B-A094-DD4F6E62C8D9}"/>
            </a:ext>
          </a:extLst>
        </xdr:cNvPr>
        <xdr:cNvSpPr>
          <a:spLocks noChangeShapeType="1"/>
        </xdr:cNvSpPr>
      </xdr:nvSpPr>
      <xdr:spPr bwMode="auto">
        <a:xfrm flipH="1">
          <a:off x="2825750" y="14268450"/>
          <a:ext cx="0" cy="889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20</xdr:col>
      <xdr:colOff>28575</xdr:colOff>
      <xdr:row>81</xdr:row>
      <xdr:rowOff>95250</xdr:rowOff>
    </xdr:from>
    <xdr:ext cx="1805560" cy="336987"/>
    <xdr:sp macro="" textlink="">
      <xdr:nvSpPr>
        <xdr:cNvPr id="10306" name="Text Box 66">
          <a:extLst>
            <a:ext uri="{FF2B5EF4-FFF2-40B4-BE49-F238E27FC236}">
              <a16:creationId xmlns:a16="http://schemas.microsoft.com/office/drawing/2014/main" id="{82EAAE10-D998-4CF5-A987-07CDA7AEC6A3}"/>
            </a:ext>
          </a:extLst>
        </xdr:cNvPr>
        <xdr:cNvSpPr txBox="1">
          <a:spLocks noChangeArrowheads="1"/>
        </xdr:cNvSpPr>
      </xdr:nvSpPr>
      <xdr:spPr bwMode="auto">
        <a:xfrm>
          <a:off x="14595475" y="16198850"/>
          <a:ext cx="1729610" cy="3308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Enter functional behavior</a:t>
          </a:r>
        </a:p>
        <a:p>
          <a:pPr algn="l" rtl="1">
            <a:defRPr sz="1000"/>
          </a:pPr>
          <a:r>
            <a:rPr lang="en-US" sz="1000" b="0" i="0" strike="noStrike">
              <a:solidFill>
                <a:srgbClr val="000000"/>
              </a:solidFill>
              <a:latin typeface="Arial"/>
              <a:cs typeface="Arial"/>
            </a:rPr>
            <a:t>of user defined antenna  here.</a:t>
          </a:r>
        </a:p>
      </xdr:txBody>
    </xdr:sp>
    <xdr:clientData/>
  </xdr:oneCellAnchor>
  <xdr:twoCellAnchor>
    <xdr:from>
      <xdr:col>17</xdr:col>
      <xdr:colOff>615950</xdr:colOff>
      <xdr:row>73</xdr:row>
      <xdr:rowOff>158750</xdr:rowOff>
    </xdr:from>
    <xdr:to>
      <xdr:col>17</xdr:col>
      <xdr:colOff>615950</xdr:colOff>
      <xdr:row>75</xdr:row>
      <xdr:rowOff>12700</xdr:rowOff>
    </xdr:to>
    <xdr:sp macro="" textlink="">
      <xdr:nvSpPr>
        <xdr:cNvPr id="553622" name="Line 68">
          <a:extLst>
            <a:ext uri="{FF2B5EF4-FFF2-40B4-BE49-F238E27FC236}">
              <a16:creationId xmlns:a16="http://schemas.microsoft.com/office/drawing/2014/main" id="{B8FD843C-5DC1-42E5-91EE-E37647AB0BBB}"/>
            </a:ext>
          </a:extLst>
        </xdr:cNvPr>
        <xdr:cNvSpPr>
          <a:spLocks noChangeShapeType="1"/>
        </xdr:cNvSpPr>
      </xdr:nvSpPr>
      <xdr:spPr bwMode="auto">
        <a:xfrm>
          <a:off x="12052300" y="14516100"/>
          <a:ext cx="0" cy="1905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17</xdr:col>
      <xdr:colOff>615950</xdr:colOff>
      <xdr:row>70</xdr:row>
      <xdr:rowOff>0</xdr:rowOff>
    </xdr:from>
    <xdr:to>
      <xdr:col>17</xdr:col>
      <xdr:colOff>615950</xdr:colOff>
      <xdr:row>71</xdr:row>
      <xdr:rowOff>0</xdr:rowOff>
    </xdr:to>
    <xdr:sp macro="" textlink="">
      <xdr:nvSpPr>
        <xdr:cNvPr id="553623" name="Line 69">
          <a:extLst>
            <a:ext uri="{FF2B5EF4-FFF2-40B4-BE49-F238E27FC236}">
              <a16:creationId xmlns:a16="http://schemas.microsoft.com/office/drawing/2014/main" id="{9245FF44-1DDD-4BC6-AF7B-D63F64CD5FB1}"/>
            </a:ext>
          </a:extLst>
        </xdr:cNvPr>
        <xdr:cNvSpPr>
          <a:spLocks noChangeShapeType="1"/>
        </xdr:cNvSpPr>
      </xdr:nvSpPr>
      <xdr:spPr bwMode="auto">
        <a:xfrm flipV="1">
          <a:off x="12052300" y="13862050"/>
          <a:ext cx="0" cy="1714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361950</xdr:colOff>
      <xdr:row>93</xdr:row>
      <xdr:rowOff>88900</xdr:rowOff>
    </xdr:from>
    <xdr:to>
      <xdr:col>4</xdr:col>
      <xdr:colOff>673100</xdr:colOff>
      <xdr:row>93</xdr:row>
      <xdr:rowOff>88900</xdr:rowOff>
    </xdr:to>
    <xdr:sp macro="" textlink="">
      <xdr:nvSpPr>
        <xdr:cNvPr id="553624" name="Line 70">
          <a:extLst>
            <a:ext uri="{FF2B5EF4-FFF2-40B4-BE49-F238E27FC236}">
              <a16:creationId xmlns:a16="http://schemas.microsoft.com/office/drawing/2014/main" id="{487848B2-4CCC-43E2-961F-0D861AF5B25A}"/>
            </a:ext>
          </a:extLst>
        </xdr:cNvPr>
        <xdr:cNvSpPr>
          <a:spLocks noChangeShapeType="1"/>
        </xdr:cNvSpPr>
      </xdr:nvSpPr>
      <xdr:spPr bwMode="auto">
        <a:xfrm flipH="1" flipV="1">
          <a:off x="2825750" y="18745200"/>
          <a:ext cx="3111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361950</xdr:colOff>
      <xdr:row>93</xdr:row>
      <xdr:rowOff>88900</xdr:rowOff>
    </xdr:from>
    <xdr:to>
      <xdr:col>4</xdr:col>
      <xdr:colOff>361950</xdr:colOff>
      <xdr:row>94</xdr:row>
      <xdr:rowOff>0</xdr:rowOff>
    </xdr:to>
    <xdr:sp macro="" textlink="">
      <xdr:nvSpPr>
        <xdr:cNvPr id="553625" name="Line 71">
          <a:extLst>
            <a:ext uri="{FF2B5EF4-FFF2-40B4-BE49-F238E27FC236}">
              <a16:creationId xmlns:a16="http://schemas.microsoft.com/office/drawing/2014/main" id="{8D190DB6-F7F9-4740-B4B3-335AB1505045}"/>
            </a:ext>
          </a:extLst>
        </xdr:cNvPr>
        <xdr:cNvSpPr>
          <a:spLocks noChangeShapeType="1"/>
        </xdr:cNvSpPr>
      </xdr:nvSpPr>
      <xdr:spPr bwMode="auto">
        <a:xfrm flipH="1">
          <a:off x="2825750" y="18745200"/>
          <a:ext cx="0" cy="762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17</xdr:col>
      <xdr:colOff>0</xdr:colOff>
      <xdr:row>35</xdr:row>
      <xdr:rowOff>158750</xdr:rowOff>
    </xdr:from>
    <xdr:to>
      <xdr:col>18</xdr:col>
      <xdr:colOff>590550</xdr:colOff>
      <xdr:row>36</xdr:row>
      <xdr:rowOff>127000</xdr:rowOff>
    </xdr:to>
    <xdr:sp macro="" textlink="">
      <xdr:nvSpPr>
        <xdr:cNvPr id="553626" name="AutoShape 74">
          <a:extLst>
            <a:ext uri="{FF2B5EF4-FFF2-40B4-BE49-F238E27FC236}">
              <a16:creationId xmlns:a16="http://schemas.microsoft.com/office/drawing/2014/main" id="{34A06CA9-B047-40C1-B0C3-00CEA02FAFDE}"/>
            </a:ext>
          </a:extLst>
        </xdr:cNvPr>
        <xdr:cNvSpPr>
          <a:spLocks/>
        </xdr:cNvSpPr>
      </xdr:nvSpPr>
      <xdr:spPr bwMode="auto">
        <a:xfrm rot="-5400000">
          <a:off x="11991975" y="5464175"/>
          <a:ext cx="139700" cy="1250950"/>
        </a:xfrm>
        <a:prstGeom prst="rightBrace">
          <a:avLst>
            <a:gd name="adj1" fmla="val 74621"/>
            <a:gd name="adj2" fmla="val 2619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11</xdr:col>
      <xdr:colOff>196850</xdr:colOff>
      <xdr:row>10</xdr:row>
      <xdr:rowOff>25400</xdr:rowOff>
    </xdr:from>
    <xdr:to>
      <xdr:col>12</xdr:col>
      <xdr:colOff>603250</xdr:colOff>
      <xdr:row>15</xdr:row>
      <xdr:rowOff>50800</xdr:rowOff>
    </xdr:to>
    <xdr:sp macro="" textlink="">
      <xdr:nvSpPr>
        <xdr:cNvPr id="553627" name="Rectangle 75" descr="Large grid">
          <a:extLst>
            <a:ext uri="{FF2B5EF4-FFF2-40B4-BE49-F238E27FC236}">
              <a16:creationId xmlns:a16="http://schemas.microsoft.com/office/drawing/2014/main" id="{3D1B3E05-93A6-4ED8-9AD2-DDDBD5C9222E}"/>
            </a:ext>
          </a:extLst>
        </xdr:cNvPr>
        <xdr:cNvSpPr>
          <a:spLocks noChangeArrowheads="1"/>
        </xdr:cNvSpPr>
      </xdr:nvSpPr>
      <xdr:spPr bwMode="auto">
        <a:xfrm>
          <a:off x="7308850" y="1689100"/>
          <a:ext cx="1022350" cy="819150"/>
        </a:xfrm>
        <a:prstGeom prst="rect">
          <a:avLst/>
        </a:prstGeom>
        <a:pattFill prst="lgGrid">
          <a:fgClr>
            <a:srgbClr val="000080"/>
          </a:fgClr>
          <a:bgClr>
            <a:srgbClr val="0000FF"/>
          </a:bgClr>
        </a:pattFill>
        <a:ln w="9525">
          <a:solidFill>
            <a:srgbClr val="000000"/>
          </a:solidFill>
          <a:miter lim="800000"/>
          <a:headEnd/>
          <a:tailEnd/>
        </a:ln>
      </xdr:spPr>
    </xdr:sp>
    <xdr:clientData/>
  </xdr:twoCellAnchor>
  <xdr:twoCellAnchor>
    <xdr:from>
      <xdr:col>11</xdr:col>
      <xdr:colOff>196850</xdr:colOff>
      <xdr:row>15</xdr:row>
      <xdr:rowOff>50800</xdr:rowOff>
    </xdr:from>
    <xdr:to>
      <xdr:col>12</xdr:col>
      <xdr:colOff>603250</xdr:colOff>
      <xdr:row>15</xdr:row>
      <xdr:rowOff>120650</xdr:rowOff>
    </xdr:to>
    <xdr:sp macro="" textlink="">
      <xdr:nvSpPr>
        <xdr:cNvPr id="553628" name="Rectangle 76">
          <a:extLst>
            <a:ext uri="{FF2B5EF4-FFF2-40B4-BE49-F238E27FC236}">
              <a16:creationId xmlns:a16="http://schemas.microsoft.com/office/drawing/2014/main" id="{5D62F2B2-D207-44DF-A223-D82401BA52B1}"/>
            </a:ext>
          </a:extLst>
        </xdr:cNvPr>
        <xdr:cNvSpPr>
          <a:spLocks noChangeArrowheads="1"/>
        </xdr:cNvSpPr>
      </xdr:nvSpPr>
      <xdr:spPr bwMode="auto">
        <a:xfrm>
          <a:off x="7308850" y="2508250"/>
          <a:ext cx="1022350" cy="6985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11</xdr:col>
      <xdr:colOff>196850</xdr:colOff>
      <xdr:row>9</xdr:row>
      <xdr:rowOff>107950</xdr:rowOff>
    </xdr:from>
    <xdr:to>
      <xdr:col>12</xdr:col>
      <xdr:colOff>603250</xdr:colOff>
      <xdr:row>10</xdr:row>
      <xdr:rowOff>12700</xdr:rowOff>
    </xdr:to>
    <xdr:sp macro="" textlink="">
      <xdr:nvSpPr>
        <xdr:cNvPr id="553629" name="Rectangle 77">
          <a:extLst>
            <a:ext uri="{FF2B5EF4-FFF2-40B4-BE49-F238E27FC236}">
              <a16:creationId xmlns:a16="http://schemas.microsoft.com/office/drawing/2014/main" id="{1CC6E8EA-4977-4EC6-8E75-F90607C9FDC4}"/>
            </a:ext>
          </a:extLst>
        </xdr:cNvPr>
        <xdr:cNvSpPr>
          <a:spLocks noChangeArrowheads="1"/>
        </xdr:cNvSpPr>
      </xdr:nvSpPr>
      <xdr:spPr bwMode="auto">
        <a:xfrm>
          <a:off x="7308850" y="1612900"/>
          <a:ext cx="1022350" cy="6350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12</xdr:col>
      <xdr:colOff>101600</xdr:colOff>
      <xdr:row>7</xdr:row>
      <xdr:rowOff>38100</xdr:rowOff>
    </xdr:from>
    <xdr:to>
      <xdr:col>12</xdr:col>
      <xdr:colOff>101600</xdr:colOff>
      <xdr:row>9</xdr:row>
      <xdr:rowOff>107950</xdr:rowOff>
    </xdr:to>
    <xdr:sp macro="" textlink="">
      <xdr:nvSpPr>
        <xdr:cNvPr id="553630" name="Line 78">
          <a:extLst>
            <a:ext uri="{FF2B5EF4-FFF2-40B4-BE49-F238E27FC236}">
              <a16:creationId xmlns:a16="http://schemas.microsoft.com/office/drawing/2014/main" id="{208EE375-D693-46FE-9F8D-B8E31B41C5DC}"/>
            </a:ext>
          </a:extLst>
        </xdr:cNvPr>
        <xdr:cNvSpPr>
          <a:spLocks noChangeShapeType="1"/>
        </xdr:cNvSpPr>
      </xdr:nvSpPr>
      <xdr:spPr bwMode="auto">
        <a:xfrm flipV="1">
          <a:off x="7829550" y="1225550"/>
          <a:ext cx="0" cy="387350"/>
        </a:xfrm>
        <a:prstGeom prst="line">
          <a:avLst/>
        </a:prstGeom>
        <a:noFill/>
        <a:ln w="2857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95250</xdr:colOff>
      <xdr:row>2</xdr:row>
      <xdr:rowOff>82550</xdr:rowOff>
    </xdr:from>
    <xdr:to>
      <xdr:col>12</xdr:col>
      <xdr:colOff>95250</xdr:colOff>
      <xdr:row>6</xdr:row>
      <xdr:rowOff>133350</xdr:rowOff>
    </xdr:to>
    <xdr:sp macro="" textlink="">
      <xdr:nvSpPr>
        <xdr:cNvPr id="553631" name="Line 79">
          <a:extLst>
            <a:ext uri="{FF2B5EF4-FFF2-40B4-BE49-F238E27FC236}">
              <a16:creationId xmlns:a16="http://schemas.microsoft.com/office/drawing/2014/main" id="{0D0F4814-DDB2-4326-A145-A96320644395}"/>
            </a:ext>
          </a:extLst>
        </xdr:cNvPr>
        <xdr:cNvSpPr>
          <a:spLocks noChangeShapeType="1"/>
        </xdr:cNvSpPr>
      </xdr:nvSpPr>
      <xdr:spPr bwMode="auto">
        <a:xfrm flipV="1">
          <a:off x="7823200" y="476250"/>
          <a:ext cx="0" cy="68580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12</xdr:col>
      <xdr:colOff>82550</xdr:colOff>
      <xdr:row>15</xdr:row>
      <xdr:rowOff>107950</xdr:rowOff>
    </xdr:from>
    <xdr:to>
      <xdr:col>12</xdr:col>
      <xdr:colOff>82550</xdr:colOff>
      <xdr:row>22</xdr:row>
      <xdr:rowOff>82550</xdr:rowOff>
    </xdr:to>
    <xdr:sp macro="" textlink="">
      <xdr:nvSpPr>
        <xdr:cNvPr id="553632" name="Line 80">
          <a:extLst>
            <a:ext uri="{FF2B5EF4-FFF2-40B4-BE49-F238E27FC236}">
              <a16:creationId xmlns:a16="http://schemas.microsoft.com/office/drawing/2014/main" id="{CAFDF9EE-E6E4-4037-BF13-426C76D3D575}"/>
            </a:ext>
          </a:extLst>
        </xdr:cNvPr>
        <xdr:cNvSpPr>
          <a:spLocks noChangeShapeType="1"/>
        </xdr:cNvSpPr>
      </xdr:nvSpPr>
      <xdr:spPr bwMode="auto">
        <a:xfrm flipV="1">
          <a:off x="7810500" y="2565400"/>
          <a:ext cx="0" cy="10858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13</xdr:col>
      <xdr:colOff>25400</xdr:colOff>
      <xdr:row>12</xdr:row>
      <xdr:rowOff>107950</xdr:rowOff>
    </xdr:from>
    <xdr:to>
      <xdr:col>14</xdr:col>
      <xdr:colOff>95250</xdr:colOff>
      <xdr:row>12</xdr:row>
      <xdr:rowOff>107950</xdr:rowOff>
    </xdr:to>
    <xdr:sp macro="" textlink="">
      <xdr:nvSpPr>
        <xdr:cNvPr id="553633" name="Line 81">
          <a:extLst>
            <a:ext uri="{FF2B5EF4-FFF2-40B4-BE49-F238E27FC236}">
              <a16:creationId xmlns:a16="http://schemas.microsoft.com/office/drawing/2014/main" id="{8743BE72-BB57-495E-B875-3532C9E0105E}"/>
            </a:ext>
          </a:extLst>
        </xdr:cNvPr>
        <xdr:cNvSpPr>
          <a:spLocks noChangeShapeType="1"/>
        </xdr:cNvSpPr>
      </xdr:nvSpPr>
      <xdr:spPr bwMode="auto">
        <a:xfrm>
          <a:off x="8369300" y="2089150"/>
          <a:ext cx="68580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10</xdr:col>
      <xdr:colOff>114300</xdr:colOff>
      <xdr:row>12</xdr:row>
      <xdr:rowOff>107950</xdr:rowOff>
    </xdr:from>
    <xdr:to>
      <xdr:col>11</xdr:col>
      <xdr:colOff>171450</xdr:colOff>
      <xdr:row>12</xdr:row>
      <xdr:rowOff>107950</xdr:rowOff>
    </xdr:to>
    <xdr:sp macro="" textlink="">
      <xdr:nvSpPr>
        <xdr:cNvPr id="553634" name="Line 82">
          <a:extLst>
            <a:ext uri="{FF2B5EF4-FFF2-40B4-BE49-F238E27FC236}">
              <a16:creationId xmlns:a16="http://schemas.microsoft.com/office/drawing/2014/main" id="{C00C079D-F906-4DA9-91D7-EF7A912E9AD2}"/>
            </a:ext>
          </a:extLst>
        </xdr:cNvPr>
        <xdr:cNvSpPr>
          <a:spLocks noChangeShapeType="1"/>
        </xdr:cNvSpPr>
      </xdr:nvSpPr>
      <xdr:spPr bwMode="auto">
        <a:xfrm>
          <a:off x="6610350" y="2089150"/>
          <a:ext cx="67310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editAs="oneCell">
    <xdr:from>
      <xdr:col>12</xdr:col>
      <xdr:colOff>241300</xdr:colOff>
      <xdr:row>2</xdr:row>
      <xdr:rowOff>12700</xdr:rowOff>
    </xdr:from>
    <xdr:to>
      <xdr:col>12</xdr:col>
      <xdr:colOff>311150</xdr:colOff>
      <xdr:row>3</xdr:row>
      <xdr:rowOff>50800</xdr:rowOff>
    </xdr:to>
    <xdr:sp macro="" textlink="">
      <xdr:nvSpPr>
        <xdr:cNvPr id="553635" name="Text Box 83">
          <a:extLst>
            <a:ext uri="{FF2B5EF4-FFF2-40B4-BE49-F238E27FC236}">
              <a16:creationId xmlns:a16="http://schemas.microsoft.com/office/drawing/2014/main" id="{11836990-A857-4B42-A59E-BD5F9E5DE63B}"/>
            </a:ext>
          </a:extLst>
        </xdr:cNvPr>
        <xdr:cNvSpPr txBox="1">
          <a:spLocks noChangeArrowheads="1"/>
        </xdr:cNvSpPr>
      </xdr:nvSpPr>
      <xdr:spPr bwMode="auto">
        <a:xfrm>
          <a:off x="7969250" y="406400"/>
          <a:ext cx="69850" cy="196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11</xdr:col>
      <xdr:colOff>600075</xdr:colOff>
      <xdr:row>1</xdr:row>
      <xdr:rowOff>28575</xdr:rowOff>
    </xdr:from>
    <xdr:ext cx="178050" cy="176972"/>
    <xdr:sp macro="" textlink="">
      <xdr:nvSpPr>
        <xdr:cNvPr id="10324" name="Text Box 84">
          <a:extLst>
            <a:ext uri="{FF2B5EF4-FFF2-40B4-BE49-F238E27FC236}">
              <a16:creationId xmlns:a16="http://schemas.microsoft.com/office/drawing/2014/main" id="{9C5818BD-2965-443F-B855-4A0AFD8C98AC}"/>
            </a:ext>
          </a:extLst>
        </xdr:cNvPr>
        <xdr:cNvSpPr txBox="1">
          <a:spLocks noChangeArrowheads="1"/>
        </xdr:cNvSpPr>
      </xdr:nvSpPr>
      <xdr:spPr bwMode="auto">
        <a:xfrm>
          <a:off x="8435975" y="257175"/>
          <a:ext cx="17169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12</xdr:col>
      <xdr:colOff>0</xdr:colOff>
      <xdr:row>22</xdr:row>
      <xdr:rowOff>117475</xdr:rowOff>
    </xdr:from>
    <xdr:ext cx="139525" cy="170560"/>
    <xdr:sp macro="" textlink="">
      <xdr:nvSpPr>
        <xdr:cNvPr id="10325" name="Text Box 85">
          <a:extLst>
            <a:ext uri="{FF2B5EF4-FFF2-40B4-BE49-F238E27FC236}">
              <a16:creationId xmlns:a16="http://schemas.microsoft.com/office/drawing/2014/main" id="{D5AE856B-7B4C-45DD-AF9F-388F4CF06BCC}"/>
            </a:ext>
          </a:extLst>
        </xdr:cNvPr>
        <xdr:cNvSpPr txBox="1">
          <a:spLocks noChangeArrowheads="1"/>
        </xdr:cNvSpPr>
      </xdr:nvSpPr>
      <xdr:spPr bwMode="auto">
        <a:xfrm>
          <a:off x="7751233" y="3732742"/>
          <a:ext cx="13952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9</xdr:col>
      <xdr:colOff>600075</xdr:colOff>
      <xdr:row>12</xdr:row>
      <xdr:rowOff>28575</xdr:rowOff>
    </xdr:from>
    <xdr:ext cx="305001" cy="176972"/>
    <xdr:sp macro="" textlink="">
      <xdr:nvSpPr>
        <xdr:cNvPr id="10326" name="Text Box 86">
          <a:extLst>
            <a:ext uri="{FF2B5EF4-FFF2-40B4-BE49-F238E27FC236}">
              <a16:creationId xmlns:a16="http://schemas.microsoft.com/office/drawing/2014/main" id="{D7024FB3-D278-49AF-A219-2408CBDA33E4}"/>
            </a:ext>
          </a:extLst>
        </xdr:cNvPr>
        <xdr:cNvSpPr txBox="1">
          <a:spLocks noChangeArrowheads="1"/>
        </xdr:cNvSpPr>
      </xdr:nvSpPr>
      <xdr:spPr bwMode="auto">
        <a:xfrm>
          <a:off x="6931025" y="1933575"/>
          <a:ext cx="18517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14</xdr:col>
      <xdr:colOff>104775</xdr:colOff>
      <xdr:row>12</xdr:row>
      <xdr:rowOff>9525</xdr:rowOff>
    </xdr:from>
    <xdr:ext cx="146707" cy="170560"/>
    <xdr:sp macro="" textlink="">
      <xdr:nvSpPr>
        <xdr:cNvPr id="10327" name="Text Box 87">
          <a:extLst>
            <a:ext uri="{FF2B5EF4-FFF2-40B4-BE49-F238E27FC236}">
              <a16:creationId xmlns:a16="http://schemas.microsoft.com/office/drawing/2014/main" id="{71D23F83-BACC-4B4A-AB20-5646EB3196F1}"/>
            </a:ext>
          </a:extLst>
        </xdr:cNvPr>
        <xdr:cNvSpPr txBox="1">
          <a:spLocks noChangeArrowheads="1"/>
        </xdr:cNvSpPr>
      </xdr:nvSpPr>
      <xdr:spPr bwMode="auto">
        <a:xfrm>
          <a:off x="9092142" y="2016125"/>
          <a:ext cx="146707"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11</xdr:col>
      <xdr:colOff>587375</xdr:colOff>
      <xdr:row>12</xdr:row>
      <xdr:rowOff>0</xdr:rowOff>
    </xdr:from>
    <xdr:ext cx="214808" cy="176972"/>
    <xdr:sp macro="" textlink="">
      <xdr:nvSpPr>
        <xdr:cNvPr id="10328" name="Text Box 88">
          <a:extLst>
            <a:ext uri="{FF2B5EF4-FFF2-40B4-BE49-F238E27FC236}">
              <a16:creationId xmlns:a16="http://schemas.microsoft.com/office/drawing/2014/main" id="{97784FCA-9430-4010-A946-C24BC2F657E0}"/>
            </a:ext>
          </a:extLst>
        </xdr:cNvPr>
        <xdr:cNvSpPr txBox="1">
          <a:spLocks noChangeArrowheads="1"/>
        </xdr:cNvSpPr>
      </xdr:nvSpPr>
      <xdr:spPr bwMode="auto">
        <a:xfrm>
          <a:off x="8459258" y="1905000"/>
          <a:ext cx="18517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+Y</a:t>
          </a:r>
        </a:p>
      </xdr:txBody>
    </xdr:sp>
    <xdr:clientData/>
  </xdr:oneCellAnchor>
  <xdr:twoCellAnchor>
    <xdr:from>
      <xdr:col>10</xdr:col>
      <xdr:colOff>209550</xdr:colOff>
      <xdr:row>1</xdr:row>
      <xdr:rowOff>114300</xdr:rowOff>
    </xdr:from>
    <xdr:to>
      <xdr:col>12</xdr:col>
      <xdr:colOff>44450</xdr:colOff>
      <xdr:row>9</xdr:row>
      <xdr:rowOff>63500</xdr:rowOff>
    </xdr:to>
    <xdr:sp macro="" textlink="">
      <xdr:nvSpPr>
        <xdr:cNvPr id="553641" name="Line 89">
          <a:extLst>
            <a:ext uri="{FF2B5EF4-FFF2-40B4-BE49-F238E27FC236}">
              <a16:creationId xmlns:a16="http://schemas.microsoft.com/office/drawing/2014/main" id="{3107BBDF-A37E-4F7E-BA8B-56B2A3CEAC6D}"/>
            </a:ext>
          </a:extLst>
        </xdr:cNvPr>
        <xdr:cNvSpPr>
          <a:spLocks noChangeShapeType="1"/>
        </xdr:cNvSpPr>
      </xdr:nvSpPr>
      <xdr:spPr bwMode="auto">
        <a:xfrm flipH="1" flipV="1">
          <a:off x="6705600" y="349250"/>
          <a:ext cx="1066800" cy="1219200"/>
        </a:xfrm>
        <a:prstGeom prst="line">
          <a:avLst/>
        </a:prstGeom>
        <a:noFill/>
        <a:ln w="9525">
          <a:solidFill>
            <a:srgbClr val="FF0000"/>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11</xdr:col>
      <xdr:colOff>196850</xdr:colOff>
      <xdr:row>3</xdr:row>
      <xdr:rowOff>0</xdr:rowOff>
    </xdr:from>
    <xdr:ext cx="230401" cy="176972"/>
    <xdr:sp macro="" textlink="">
      <xdr:nvSpPr>
        <xdr:cNvPr id="10330" name="Text Box 90">
          <a:extLst>
            <a:ext uri="{FF2B5EF4-FFF2-40B4-BE49-F238E27FC236}">
              <a16:creationId xmlns:a16="http://schemas.microsoft.com/office/drawing/2014/main" id="{03485F6B-F0D9-4EC1-A57E-742D25A6F3C3}"/>
            </a:ext>
          </a:extLst>
        </xdr:cNvPr>
        <xdr:cNvSpPr txBox="1">
          <a:spLocks noChangeArrowheads="1"/>
        </xdr:cNvSpPr>
      </xdr:nvSpPr>
      <xdr:spPr bwMode="auto">
        <a:xfrm>
          <a:off x="8030633" y="533400"/>
          <a:ext cx="23040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2,3</a:t>
          </a:r>
        </a:p>
      </xdr:txBody>
    </xdr:sp>
    <xdr:clientData/>
  </xdr:oneCellAnchor>
  <xdr:twoCellAnchor>
    <xdr:from>
      <xdr:col>11</xdr:col>
      <xdr:colOff>44450</xdr:colOff>
      <xdr:row>4</xdr:row>
      <xdr:rowOff>12700</xdr:rowOff>
    </xdr:from>
    <xdr:to>
      <xdr:col>11</xdr:col>
      <xdr:colOff>158750</xdr:colOff>
      <xdr:row>4</xdr:row>
      <xdr:rowOff>95250</xdr:rowOff>
    </xdr:to>
    <xdr:sp macro="" textlink="">
      <xdr:nvSpPr>
        <xdr:cNvPr id="553643" name="Line 91">
          <a:extLst>
            <a:ext uri="{FF2B5EF4-FFF2-40B4-BE49-F238E27FC236}">
              <a16:creationId xmlns:a16="http://schemas.microsoft.com/office/drawing/2014/main" id="{4502D927-AEFA-400F-8C67-C5F10F221229}"/>
            </a:ext>
          </a:extLst>
        </xdr:cNvPr>
        <xdr:cNvSpPr>
          <a:spLocks noChangeShapeType="1"/>
        </xdr:cNvSpPr>
      </xdr:nvSpPr>
      <xdr:spPr bwMode="auto">
        <a:xfrm flipH="1">
          <a:off x="7156450" y="723900"/>
          <a:ext cx="114300" cy="825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11</xdr:col>
      <xdr:colOff>514350</xdr:colOff>
      <xdr:row>3</xdr:row>
      <xdr:rowOff>63500</xdr:rowOff>
    </xdr:from>
    <xdr:to>
      <xdr:col>12</xdr:col>
      <xdr:colOff>57150</xdr:colOff>
      <xdr:row>3</xdr:row>
      <xdr:rowOff>82550</xdr:rowOff>
    </xdr:to>
    <xdr:sp macro="" textlink="">
      <xdr:nvSpPr>
        <xdr:cNvPr id="553644" name="Line 92">
          <a:extLst>
            <a:ext uri="{FF2B5EF4-FFF2-40B4-BE49-F238E27FC236}">
              <a16:creationId xmlns:a16="http://schemas.microsoft.com/office/drawing/2014/main" id="{F16D44F8-D31E-4089-A516-EAC78E75D7FA}"/>
            </a:ext>
          </a:extLst>
        </xdr:cNvPr>
        <xdr:cNvSpPr>
          <a:spLocks noChangeShapeType="1"/>
        </xdr:cNvSpPr>
      </xdr:nvSpPr>
      <xdr:spPr bwMode="auto">
        <a:xfrm flipV="1">
          <a:off x="7626350" y="615950"/>
          <a:ext cx="158750" cy="190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11</xdr:col>
      <xdr:colOff>419100</xdr:colOff>
      <xdr:row>23</xdr:row>
      <xdr:rowOff>111125</xdr:rowOff>
    </xdr:from>
    <xdr:ext cx="564434" cy="176972"/>
    <xdr:sp macro="" textlink="">
      <xdr:nvSpPr>
        <xdr:cNvPr id="10333" name="Text Box 93">
          <a:extLst>
            <a:ext uri="{FF2B5EF4-FFF2-40B4-BE49-F238E27FC236}">
              <a16:creationId xmlns:a16="http://schemas.microsoft.com/office/drawing/2014/main" id="{D317F082-BC18-427F-8BD5-BC0AE5E955C8}"/>
            </a:ext>
          </a:extLst>
        </xdr:cNvPr>
        <xdr:cNvSpPr txBox="1">
          <a:spLocks noChangeArrowheads="1"/>
        </xdr:cNvSpPr>
      </xdr:nvSpPr>
      <xdr:spPr bwMode="auto">
        <a:xfrm>
          <a:off x="8229600" y="3686175"/>
          <a:ext cx="517276"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Figure</a:t>
          </a:r>
          <a:r>
            <a:rPr lang="en-US" sz="1000" b="0" i="0" strike="noStrike">
              <a:solidFill>
                <a:srgbClr val="000000"/>
              </a:solidFill>
              <a:latin typeface="Arial"/>
              <a:cs typeface="Arial"/>
            </a:rPr>
            <a:t> </a:t>
          </a:r>
          <a:r>
            <a:rPr lang="en-US" sz="1000" b="1" i="0" strike="noStrike">
              <a:solidFill>
                <a:srgbClr val="000000"/>
              </a:solidFill>
              <a:latin typeface="Arial"/>
              <a:cs typeface="Arial"/>
            </a:rPr>
            <a:t>3</a:t>
          </a:r>
        </a:p>
      </xdr:txBody>
    </xdr:sp>
    <xdr:clientData/>
  </xdr:oneCellAnchor>
  <xdr:oneCellAnchor>
    <xdr:from>
      <xdr:col>12</xdr:col>
      <xdr:colOff>187325</xdr:colOff>
      <xdr:row>6</xdr:row>
      <xdr:rowOff>117475</xdr:rowOff>
    </xdr:from>
    <xdr:ext cx="623760" cy="176972"/>
    <xdr:sp macro="" textlink="">
      <xdr:nvSpPr>
        <xdr:cNvPr id="10334" name="Text Box 94">
          <a:extLst>
            <a:ext uri="{FF2B5EF4-FFF2-40B4-BE49-F238E27FC236}">
              <a16:creationId xmlns:a16="http://schemas.microsoft.com/office/drawing/2014/main" id="{C2993B26-98DC-43AD-814F-F639609B9AC5}"/>
            </a:ext>
          </a:extLst>
        </xdr:cNvPr>
        <xdr:cNvSpPr txBox="1">
          <a:spLocks noChangeArrowheads="1"/>
        </xdr:cNvSpPr>
      </xdr:nvSpPr>
      <xdr:spPr bwMode="auto">
        <a:xfrm>
          <a:off x="8651875" y="1101725"/>
          <a:ext cx="58170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Monopole</a:t>
          </a:r>
        </a:p>
      </xdr:txBody>
    </xdr:sp>
    <xdr:clientData/>
  </xdr:oneCellAnchor>
  <xdr:twoCellAnchor>
    <xdr:from>
      <xdr:col>16</xdr:col>
      <xdr:colOff>349250</xdr:colOff>
      <xdr:row>10</xdr:row>
      <xdr:rowOff>38100</xdr:rowOff>
    </xdr:from>
    <xdr:to>
      <xdr:col>18</xdr:col>
      <xdr:colOff>114300</xdr:colOff>
      <xdr:row>15</xdr:row>
      <xdr:rowOff>50800</xdr:rowOff>
    </xdr:to>
    <xdr:sp macro="" textlink="">
      <xdr:nvSpPr>
        <xdr:cNvPr id="553647" name="Rectangle 95" descr="Large grid">
          <a:extLst>
            <a:ext uri="{FF2B5EF4-FFF2-40B4-BE49-F238E27FC236}">
              <a16:creationId xmlns:a16="http://schemas.microsoft.com/office/drawing/2014/main" id="{6BE8B21C-5332-4E53-AC90-125EA36E2B4C}"/>
            </a:ext>
          </a:extLst>
        </xdr:cNvPr>
        <xdr:cNvSpPr>
          <a:spLocks noChangeArrowheads="1"/>
        </xdr:cNvSpPr>
      </xdr:nvSpPr>
      <xdr:spPr bwMode="auto">
        <a:xfrm>
          <a:off x="11169650" y="1701800"/>
          <a:ext cx="1041400" cy="806450"/>
        </a:xfrm>
        <a:prstGeom prst="rect">
          <a:avLst/>
        </a:prstGeom>
        <a:pattFill prst="lgGrid">
          <a:fgClr>
            <a:srgbClr val="000080"/>
          </a:fgClr>
          <a:bgClr>
            <a:srgbClr val="0000FF"/>
          </a:bgClr>
        </a:pattFill>
        <a:ln w="9525">
          <a:solidFill>
            <a:srgbClr val="000000"/>
          </a:solidFill>
          <a:miter lim="800000"/>
          <a:headEnd/>
          <a:tailEnd/>
        </a:ln>
      </xdr:spPr>
    </xdr:sp>
    <xdr:clientData/>
  </xdr:twoCellAnchor>
  <xdr:twoCellAnchor>
    <xdr:from>
      <xdr:col>16</xdr:col>
      <xdr:colOff>349250</xdr:colOff>
      <xdr:row>15</xdr:row>
      <xdr:rowOff>50800</xdr:rowOff>
    </xdr:from>
    <xdr:to>
      <xdr:col>18</xdr:col>
      <xdr:colOff>114300</xdr:colOff>
      <xdr:row>15</xdr:row>
      <xdr:rowOff>133350</xdr:rowOff>
    </xdr:to>
    <xdr:sp macro="" textlink="">
      <xdr:nvSpPr>
        <xdr:cNvPr id="553648" name="Rectangle 96">
          <a:extLst>
            <a:ext uri="{FF2B5EF4-FFF2-40B4-BE49-F238E27FC236}">
              <a16:creationId xmlns:a16="http://schemas.microsoft.com/office/drawing/2014/main" id="{B9F491EA-D175-4A20-82CF-223E90550B82}"/>
            </a:ext>
          </a:extLst>
        </xdr:cNvPr>
        <xdr:cNvSpPr>
          <a:spLocks noChangeArrowheads="1"/>
        </xdr:cNvSpPr>
      </xdr:nvSpPr>
      <xdr:spPr bwMode="auto">
        <a:xfrm>
          <a:off x="11169650" y="2508250"/>
          <a:ext cx="1041400" cy="8255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16</xdr:col>
      <xdr:colOff>349250</xdr:colOff>
      <xdr:row>9</xdr:row>
      <xdr:rowOff>107950</xdr:rowOff>
    </xdr:from>
    <xdr:to>
      <xdr:col>18</xdr:col>
      <xdr:colOff>114300</xdr:colOff>
      <xdr:row>10</xdr:row>
      <xdr:rowOff>25400</xdr:rowOff>
    </xdr:to>
    <xdr:sp macro="" textlink="">
      <xdr:nvSpPr>
        <xdr:cNvPr id="553649" name="Rectangle 97">
          <a:extLst>
            <a:ext uri="{FF2B5EF4-FFF2-40B4-BE49-F238E27FC236}">
              <a16:creationId xmlns:a16="http://schemas.microsoft.com/office/drawing/2014/main" id="{B8647F69-49BF-4AE7-8590-FD704D166C15}"/>
            </a:ext>
          </a:extLst>
        </xdr:cNvPr>
        <xdr:cNvSpPr>
          <a:spLocks noChangeArrowheads="1"/>
        </xdr:cNvSpPr>
      </xdr:nvSpPr>
      <xdr:spPr bwMode="auto">
        <a:xfrm>
          <a:off x="11169650" y="1612900"/>
          <a:ext cx="1041400" cy="7620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17</xdr:col>
      <xdr:colOff>254000</xdr:colOff>
      <xdr:row>2</xdr:row>
      <xdr:rowOff>82550</xdr:rowOff>
    </xdr:from>
    <xdr:to>
      <xdr:col>17</xdr:col>
      <xdr:colOff>254000</xdr:colOff>
      <xdr:row>9</xdr:row>
      <xdr:rowOff>107950</xdr:rowOff>
    </xdr:to>
    <xdr:sp macro="" textlink="">
      <xdr:nvSpPr>
        <xdr:cNvPr id="553650" name="Line 99">
          <a:extLst>
            <a:ext uri="{FF2B5EF4-FFF2-40B4-BE49-F238E27FC236}">
              <a16:creationId xmlns:a16="http://schemas.microsoft.com/office/drawing/2014/main" id="{10E3ABEF-F0A5-474A-88A6-C235506ECE1B}"/>
            </a:ext>
          </a:extLst>
        </xdr:cNvPr>
        <xdr:cNvSpPr>
          <a:spLocks noChangeShapeType="1"/>
        </xdr:cNvSpPr>
      </xdr:nvSpPr>
      <xdr:spPr bwMode="auto">
        <a:xfrm flipV="1">
          <a:off x="11690350" y="476250"/>
          <a:ext cx="0" cy="11366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17</xdr:col>
      <xdr:colOff>241300</xdr:colOff>
      <xdr:row>15</xdr:row>
      <xdr:rowOff>120650</xdr:rowOff>
    </xdr:from>
    <xdr:to>
      <xdr:col>17</xdr:col>
      <xdr:colOff>241300</xdr:colOff>
      <xdr:row>22</xdr:row>
      <xdr:rowOff>82550</xdr:rowOff>
    </xdr:to>
    <xdr:sp macro="" textlink="">
      <xdr:nvSpPr>
        <xdr:cNvPr id="553651" name="Line 100">
          <a:extLst>
            <a:ext uri="{FF2B5EF4-FFF2-40B4-BE49-F238E27FC236}">
              <a16:creationId xmlns:a16="http://schemas.microsoft.com/office/drawing/2014/main" id="{166EAC43-2059-4A15-9F48-14150EC49E8C}"/>
            </a:ext>
          </a:extLst>
        </xdr:cNvPr>
        <xdr:cNvSpPr>
          <a:spLocks noChangeShapeType="1"/>
        </xdr:cNvSpPr>
      </xdr:nvSpPr>
      <xdr:spPr bwMode="auto">
        <a:xfrm flipV="1">
          <a:off x="11677650" y="2578100"/>
          <a:ext cx="0" cy="10731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18</xdr:col>
      <xdr:colOff>127000</xdr:colOff>
      <xdr:row>12</xdr:row>
      <xdr:rowOff>107950</xdr:rowOff>
    </xdr:from>
    <xdr:to>
      <xdr:col>19</xdr:col>
      <xdr:colOff>184150</xdr:colOff>
      <xdr:row>12</xdr:row>
      <xdr:rowOff>107950</xdr:rowOff>
    </xdr:to>
    <xdr:sp macro="" textlink="">
      <xdr:nvSpPr>
        <xdr:cNvPr id="553652" name="Line 101">
          <a:extLst>
            <a:ext uri="{FF2B5EF4-FFF2-40B4-BE49-F238E27FC236}">
              <a16:creationId xmlns:a16="http://schemas.microsoft.com/office/drawing/2014/main" id="{58FABB92-C710-49FF-8849-76C5B0404AA0}"/>
            </a:ext>
          </a:extLst>
        </xdr:cNvPr>
        <xdr:cNvSpPr>
          <a:spLocks noChangeShapeType="1"/>
        </xdr:cNvSpPr>
      </xdr:nvSpPr>
      <xdr:spPr bwMode="auto">
        <a:xfrm>
          <a:off x="12223750" y="2089150"/>
          <a:ext cx="673100" cy="0"/>
        </a:xfrm>
        <a:prstGeom prst="line">
          <a:avLst/>
        </a:prstGeom>
        <a:noFill/>
        <a:ln w="381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15</xdr:col>
      <xdr:colOff>304800</xdr:colOff>
      <xdr:row>12</xdr:row>
      <xdr:rowOff>107950</xdr:rowOff>
    </xdr:from>
    <xdr:to>
      <xdr:col>16</xdr:col>
      <xdr:colOff>361950</xdr:colOff>
      <xdr:row>12</xdr:row>
      <xdr:rowOff>107950</xdr:rowOff>
    </xdr:to>
    <xdr:sp macro="" textlink="">
      <xdr:nvSpPr>
        <xdr:cNvPr id="553653" name="Line 102">
          <a:extLst>
            <a:ext uri="{FF2B5EF4-FFF2-40B4-BE49-F238E27FC236}">
              <a16:creationId xmlns:a16="http://schemas.microsoft.com/office/drawing/2014/main" id="{986EE1EE-1A59-4561-86E0-85EA17B57ED9}"/>
            </a:ext>
          </a:extLst>
        </xdr:cNvPr>
        <xdr:cNvSpPr>
          <a:spLocks noChangeShapeType="1"/>
        </xdr:cNvSpPr>
      </xdr:nvSpPr>
      <xdr:spPr bwMode="auto">
        <a:xfrm>
          <a:off x="10509250" y="2089150"/>
          <a:ext cx="673100" cy="0"/>
        </a:xfrm>
        <a:prstGeom prst="line">
          <a:avLst/>
        </a:prstGeom>
        <a:noFill/>
        <a:ln w="381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17</xdr:col>
      <xdr:colOff>406400</xdr:colOff>
      <xdr:row>2</xdr:row>
      <xdr:rowOff>25400</xdr:rowOff>
    </xdr:from>
    <xdr:to>
      <xdr:col>17</xdr:col>
      <xdr:colOff>488950</xdr:colOff>
      <xdr:row>3</xdr:row>
      <xdr:rowOff>63500</xdr:rowOff>
    </xdr:to>
    <xdr:sp macro="" textlink="">
      <xdr:nvSpPr>
        <xdr:cNvPr id="553654" name="Text Box 103">
          <a:extLst>
            <a:ext uri="{FF2B5EF4-FFF2-40B4-BE49-F238E27FC236}">
              <a16:creationId xmlns:a16="http://schemas.microsoft.com/office/drawing/2014/main" id="{4E27F5BB-5112-454B-B2B6-C1A8F24798A5}"/>
            </a:ext>
          </a:extLst>
        </xdr:cNvPr>
        <xdr:cNvSpPr txBox="1">
          <a:spLocks noChangeArrowheads="1"/>
        </xdr:cNvSpPr>
      </xdr:nvSpPr>
      <xdr:spPr bwMode="auto">
        <a:xfrm>
          <a:off x="11842750" y="419100"/>
          <a:ext cx="82550" cy="196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17</xdr:col>
      <xdr:colOff>165100</xdr:colOff>
      <xdr:row>22</xdr:row>
      <xdr:rowOff>117475</xdr:rowOff>
    </xdr:from>
    <xdr:ext cx="139525" cy="170560"/>
    <xdr:sp macro="" textlink="">
      <xdr:nvSpPr>
        <xdr:cNvPr id="10344" name="Text Box 104">
          <a:extLst>
            <a:ext uri="{FF2B5EF4-FFF2-40B4-BE49-F238E27FC236}">
              <a16:creationId xmlns:a16="http://schemas.microsoft.com/office/drawing/2014/main" id="{E985F34E-4B55-4B38-830F-2BA838B87538}"/>
            </a:ext>
          </a:extLst>
        </xdr:cNvPr>
        <xdr:cNvSpPr txBox="1">
          <a:spLocks noChangeArrowheads="1"/>
        </xdr:cNvSpPr>
      </xdr:nvSpPr>
      <xdr:spPr bwMode="auto">
        <a:xfrm>
          <a:off x="11633200" y="3732742"/>
          <a:ext cx="13952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15</xdr:col>
      <xdr:colOff>9525</xdr:colOff>
      <xdr:row>12</xdr:row>
      <xdr:rowOff>28575</xdr:rowOff>
    </xdr:from>
    <xdr:ext cx="185179" cy="176972"/>
    <xdr:sp macro="" textlink="">
      <xdr:nvSpPr>
        <xdr:cNvPr id="10345" name="Text Box 105">
          <a:extLst>
            <a:ext uri="{FF2B5EF4-FFF2-40B4-BE49-F238E27FC236}">
              <a16:creationId xmlns:a16="http://schemas.microsoft.com/office/drawing/2014/main" id="{D0DD1C92-4D20-4633-9BBF-B75907787013}"/>
            </a:ext>
          </a:extLst>
        </xdr:cNvPr>
        <xdr:cNvSpPr txBox="1">
          <a:spLocks noChangeArrowheads="1"/>
        </xdr:cNvSpPr>
      </xdr:nvSpPr>
      <xdr:spPr bwMode="auto">
        <a:xfrm>
          <a:off x="11219392" y="1933575"/>
          <a:ext cx="18517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19</xdr:col>
      <xdr:colOff>225425</xdr:colOff>
      <xdr:row>12</xdr:row>
      <xdr:rowOff>28575</xdr:rowOff>
    </xdr:from>
    <xdr:ext cx="146707" cy="170560"/>
    <xdr:sp macro="" textlink="">
      <xdr:nvSpPr>
        <xdr:cNvPr id="10346" name="Text Box 106">
          <a:extLst>
            <a:ext uri="{FF2B5EF4-FFF2-40B4-BE49-F238E27FC236}">
              <a16:creationId xmlns:a16="http://schemas.microsoft.com/office/drawing/2014/main" id="{C92E4A15-14E1-4C61-9B40-7B6ED1C9CB21}"/>
            </a:ext>
          </a:extLst>
        </xdr:cNvPr>
        <xdr:cNvSpPr txBox="1">
          <a:spLocks noChangeArrowheads="1"/>
        </xdr:cNvSpPr>
      </xdr:nvSpPr>
      <xdr:spPr bwMode="auto">
        <a:xfrm>
          <a:off x="12971992" y="2035175"/>
          <a:ext cx="146707"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17</xdr:col>
      <xdr:colOff>123825</xdr:colOff>
      <xdr:row>12</xdr:row>
      <xdr:rowOff>9525</xdr:rowOff>
    </xdr:from>
    <xdr:ext cx="185179" cy="176972"/>
    <xdr:sp macro="" textlink="">
      <xdr:nvSpPr>
        <xdr:cNvPr id="10347" name="Text Box 107">
          <a:extLst>
            <a:ext uri="{FF2B5EF4-FFF2-40B4-BE49-F238E27FC236}">
              <a16:creationId xmlns:a16="http://schemas.microsoft.com/office/drawing/2014/main" id="{563A5B52-BAA7-4D36-900E-3E1D00C8D397}"/>
            </a:ext>
          </a:extLst>
        </xdr:cNvPr>
        <xdr:cNvSpPr txBox="1">
          <a:spLocks noChangeArrowheads="1"/>
        </xdr:cNvSpPr>
      </xdr:nvSpPr>
      <xdr:spPr bwMode="auto">
        <a:xfrm>
          <a:off x="12701058" y="1914525"/>
          <a:ext cx="18517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+Y</a:t>
          </a:r>
        </a:p>
      </xdr:txBody>
    </xdr:sp>
    <xdr:clientData/>
  </xdr:oneCellAnchor>
  <xdr:twoCellAnchor>
    <xdr:from>
      <xdr:col>15</xdr:col>
      <xdr:colOff>361950</xdr:colOff>
      <xdr:row>1</xdr:row>
      <xdr:rowOff>127000</xdr:rowOff>
    </xdr:from>
    <xdr:to>
      <xdr:col>17</xdr:col>
      <xdr:colOff>209550</xdr:colOff>
      <xdr:row>12</xdr:row>
      <xdr:rowOff>50800</xdr:rowOff>
    </xdr:to>
    <xdr:sp macro="" textlink="">
      <xdr:nvSpPr>
        <xdr:cNvPr id="553659" name="Line 108">
          <a:extLst>
            <a:ext uri="{FF2B5EF4-FFF2-40B4-BE49-F238E27FC236}">
              <a16:creationId xmlns:a16="http://schemas.microsoft.com/office/drawing/2014/main" id="{30670DFD-46B0-4D2B-9F2E-248B81792C18}"/>
            </a:ext>
          </a:extLst>
        </xdr:cNvPr>
        <xdr:cNvSpPr>
          <a:spLocks noChangeShapeType="1"/>
        </xdr:cNvSpPr>
      </xdr:nvSpPr>
      <xdr:spPr bwMode="auto">
        <a:xfrm flipH="1" flipV="1">
          <a:off x="10566400" y="361950"/>
          <a:ext cx="1079500" cy="1670050"/>
        </a:xfrm>
        <a:prstGeom prst="line">
          <a:avLst/>
        </a:prstGeom>
        <a:noFill/>
        <a:ln w="9525">
          <a:solidFill>
            <a:srgbClr val="FF0000"/>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16</xdr:col>
      <xdr:colOff>339725</xdr:colOff>
      <xdr:row>3</xdr:row>
      <xdr:rowOff>82550</xdr:rowOff>
    </xdr:from>
    <xdr:ext cx="230401" cy="176972"/>
    <xdr:sp macro="" textlink="">
      <xdr:nvSpPr>
        <xdr:cNvPr id="10349" name="Text Box 109">
          <a:extLst>
            <a:ext uri="{FF2B5EF4-FFF2-40B4-BE49-F238E27FC236}">
              <a16:creationId xmlns:a16="http://schemas.microsoft.com/office/drawing/2014/main" id="{27FA6B64-D78B-45BE-AE70-9D55191EEA7B}"/>
            </a:ext>
          </a:extLst>
        </xdr:cNvPr>
        <xdr:cNvSpPr txBox="1">
          <a:spLocks noChangeArrowheads="1"/>
        </xdr:cNvSpPr>
      </xdr:nvSpPr>
      <xdr:spPr bwMode="auto">
        <a:xfrm>
          <a:off x="12258675" y="609600"/>
          <a:ext cx="23040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2,3</a:t>
          </a:r>
        </a:p>
      </xdr:txBody>
    </xdr:sp>
    <xdr:clientData/>
  </xdr:oneCellAnchor>
  <xdr:twoCellAnchor>
    <xdr:from>
      <xdr:col>16</xdr:col>
      <xdr:colOff>127000</xdr:colOff>
      <xdr:row>4</xdr:row>
      <xdr:rowOff>50800</xdr:rowOff>
    </xdr:from>
    <xdr:to>
      <xdr:col>16</xdr:col>
      <xdr:colOff>311150</xdr:colOff>
      <xdr:row>5</xdr:row>
      <xdr:rowOff>12700</xdr:rowOff>
    </xdr:to>
    <xdr:sp macro="" textlink="">
      <xdr:nvSpPr>
        <xdr:cNvPr id="553661" name="Line 110">
          <a:extLst>
            <a:ext uri="{FF2B5EF4-FFF2-40B4-BE49-F238E27FC236}">
              <a16:creationId xmlns:a16="http://schemas.microsoft.com/office/drawing/2014/main" id="{965FA044-7A52-44CD-901A-599B5B7038FE}"/>
            </a:ext>
          </a:extLst>
        </xdr:cNvPr>
        <xdr:cNvSpPr>
          <a:spLocks noChangeShapeType="1"/>
        </xdr:cNvSpPr>
      </xdr:nvSpPr>
      <xdr:spPr bwMode="auto">
        <a:xfrm flipH="1">
          <a:off x="10947400" y="762000"/>
          <a:ext cx="184150" cy="1206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16</xdr:col>
      <xdr:colOff>590550</xdr:colOff>
      <xdr:row>3</xdr:row>
      <xdr:rowOff>82550</xdr:rowOff>
    </xdr:from>
    <xdr:to>
      <xdr:col>17</xdr:col>
      <xdr:colOff>222250</xdr:colOff>
      <xdr:row>3</xdr:row>
      <xdr:rowOff>107950</xdr:rowOff>
    </xdr:to>
    <xdr:sp macro="" textlink="">
      <xdr:nvSpPr>
        <xdr:cNvPr id="553662" name="Line 111">
          <a:extLst>
            <a:ext uri="{FF2B5EF4-FFF2-40B4-BE49-F238E27FC236}">
              <a16:creationId xmlns:a16="http://schemas.microsoft.com/office/drawing/2014/main" id="{E1AFCC9C-5B29-4FE8-B7FB-A975CA64DC4F}"/>
            </a:ext>
          </a:extLst>
        </xdr:cNvPr>
        <xdr:cNvSpPr>
          <a:spLocks noChangeShapeType="1"/>
        </xdr:cNvSpPr>
      </xdr:nvSpPr>
      <xdr:spPr bwMode="auto">
        <a:xfrm flipV="1">
          <a:off x="11410950" y="635000"/>
          <a:ext cx="247650" cy="25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16</xdr:col>
      <xdr:colOff>584200</xdr:colOff>
      <xdr:row>23</xdr:row>
      <xdr:rowOff>111125</xdr:rowOff>
    </xdr:from>
    <xdr:ext cx="543479" cy="176972"/>
    <xdr:sp macro="" textlink="">
      <xdr:nvSpPr>
        <xdr:cNvPr id="10352" name="Text Box 112">
          <a:extLst>
            <a:ext uri="{FF2B5EF4-FFF2-40B4-BE49-F238E27FC236}">
              <a16:creationId xmlns:a16="http://schemas.microsoft.com/office/drawing/2014/main" id="{01A4EC64-E031-4E05-A964-82DF51373131}"/>
            </a:ext>
          </a:extLst>
        </xdr:cNvPr>
        <xdr:cNvSpPr txBox="1">
          <a:spLocks noChangeArrowheads="1"/>
        </xdr:cNvSpPr>
      </xdr:nvSpPr>
      <xdr:spPr bwMode="auto">
        <a:xfrm>
          <a:off x="12458700" y="3686175"/>
          <a:ext cx="517276"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Figure</a:t>
          </a:r>
          <a:r>
            <a:rPr lang="en-US" sz="1000" b="0" i="0" strike="noStrike">
              <a:solidFill>
                <a:srgbClr val="000000"/>
              </a:solidFill>
              <a:latin typeface="Arial"/>
              <a:cs typeface="Arial"/>
            </a:rPr>
            <a:t> </a:t>
          </a:r>
          <a:r>
            <a:rPr lang="en-US" sz="1000" b="1" i="0" strike="noStrike">
              <a:solidFill>
                <a:srgbClr val="000000"/>
              </a:solidFill>
              <a:latin typeface="Arial"/>
              <a:cs typeface="Arial"/>
            </a:rPr>
            <a:t>4</a:t>
          </a:r>
        </a:p>
      </xdr:txBody>
    </xdr:sp>
    <xdr:clientData/>
  </xdr:oneCellAnchor>
  <xdr:oneCellAnchor>
    <xdr:from>
      <xdr:col>18</xdr:col>
      <xdr:colOff>225425</xdr:colOff>
      <xdr:row>13</xdr:row>
      <xdr:rowOff>47625</xdr:rowOff>
    </xdr:from>
    <xdr:ext cx="388498" cy="171073"/>
    <xdr:sp macro="" textlink="">
      <xdr:nvSpPr>
        <xdr:cNvPr id="10353" name="Text Box 113">
          <a:extLst>
            <a:ext uri="{FF2B5EF4-FFF2-40B4-BE49-F238E27FC236}">
              <a16:creationId xmlns:a16="http://schemas.microsoft.com/office/drawing/2014/main" id="{E6F104F1-ADC7-4E2A-8E81-33E54D1B52D4}"/>
            </a:ext>
          </a:extLst>
        </xdr:cNvPr>
        <xdr:cNvSpPr txBox="1">
          <a:spLocks noChangeArrowheads="1"/>
        </xdr:cNvSpPr>
      </xdr:nvSpPr>
      <xdr:spPr bwMode="auto">
        <a:xfrm>
          <a:off x="13465175" y="2105025"/>
          <a:ext cx="382023"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Dipole</a:t>
          </a:r>
        </a:p>
      </xdr:txBody>
    </xdr:sp>
    <xdr:clientData/>
  </xdr:oneCellAnchor>
  <xdr:twoCellAnchor>
    <xdr:from>
      <xdr:col>22</xdr:col>
      <xdr:colOff>393700</xdr:colOff>
      <xdr:row>10</xdr:row>
      <xdr:rowOff>25400</xdr:rowOff>
    </xdr:from>
    <xdr:to>
      <xdr:col>24</xdr:col>
      <xdr:colOff>196850</xdr:colOff>
      <xdr:row>15</xdr:row>
      <xdr:rowOff>50800</xdr:rowOff>
    </xdr:to>
    <xdr:sp macro="" textlink="">
      <xdr:nvSpPr>
        <xdr:cNvPr id="553665" name="Rectangle 114" descr="Large grid">
          <a:extLst>
            <a:ext uri="{FF2B5EF4-FFF2-40B4-BE49-F238E27FC236}">
              <a16:creationId xmlns:a16="http://schemas.microsoft.com/office/drawing/2014/main" id="{2710E59E-3967-4EEE-B74E-BEB0E6FB4C48}"/>
            </a:ext>
          </a:extLst>
        </xdr:cNvPr>
        <xdr:cNvSpPr>
          <a:spLocks noChangeArrowheads="1"/>
        </xdr:cNvSpPr>
      </xdr:nvSpPr>
      <xdr:spPr bwMode="auto">
        <a:xfrm>
          <a:off x="14954250" y="1689100"/>
          <a:ext cx="1035050" cy="819150"/>
        </a:xfrm>
        <a:prstGeom prst="rect">
          <a:avLst/>
        </a:prstGeom>
        <a:pattFill prst="lgGrid">
          <a:fgClr>
            <a:srgbClr val="000080"/>
          </a:fgClr>
          <a:bgClr>
            <a:srgbClr val="0000FF"/>
          </a:bgClr>
        </a:pattFill>
        <a:ln w="9525">
          <a:solidFill>
            <a:srgbClr val="000000"/>
          </a:solidFill>
          <a:miter lim="800000"/>
          <a:headEnd/>
          <a:tailEnd/>
        </a:ln>
      </xdr:spPr>
    </xdr:sp>
    <xdr:clientData/>
  </xdr:twoCellAnchor>
  <xdr:twoCellAnchor>
    <xdr:from>
      <xdr:col>22</xdr:col>
      <xdr:colOff>393700</xdr:colOff>
      <xdr:row>15</xdr:row>
      <xdr:rowOff>50800</xdr:rowOff>
    </xdr:from>
    <xdr:to>
      <xdr:col>24</xdr:col>
      <xdr:colOff>196850</xdr:colOff>
      <xdr:row>15</xdr:row>
      <xdr:rowOff>120650</xdr:rowOff>
    </xdr:to>
    <xdr:sp macro="" textlink="">
      <xdr:nvSpPr>
        <xdr:cNvPr id="553666" name="Rectangle 115">
          <a:extLst>
            <a:ext uri="{FF2B5EF4-FFF2-40B4-BE49-F238E27FC236}">
              <a16:creationId xmlns:a16="http://schemas.microsoft.com/office/drawing/2014/main" id="{5A78CA1F-7E0D-466A-B4F9-4454764F1659}"/>
            </a:ext>
          </a:extLst>
        </xdr:cNvPr>
        <xdr:cNvSpPr>
          <a:spLocks noChangeArrowheads="1"/>
        </xdr:cNvSpPr>
      </xdr:nvSpPr>
      <xdr:spPr bwMode="auto">
        <a:xfrm>
          <a:off x="14954250" y="2508250"/>
          <a:ext cx="1035050" cy="6985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22</xdr:col>
      <xdr:colOff>393700</xdr:colOff>
      <xdr:row>9</xdr:row>
      <xdr:rowOff>107950</xdr:rowOff>
    </xdr:from>
    <xdr:to>
      <xdr:col>24</xdr:col>
      <xdr:colOff>196850</xdr:colOff>
      <xdr:row>10</xdr:row>
      <xdr:rowOff>12700</xdr:rowOff>
    </xdr:to>
    <xdr:sp macro="" textlink="">
      <xdr:nvSpPr>
        <xdr:cNvPr id="553667" name="Rectangle 116">
          <a:extLst>
            <a:ext uri="{FF2B5EF4-FFF2-40B4-BE49-F238E27FC236}">
              <a16:creationId xmlns:a16="http://schemas.microsoft.com/office/drawing/2014/main" id="{F47FACCF-74B2-4162-8BAA-C5B137664A71}"/>
            </a:ext>
          </a:extLst>
        </xdr:cNvPr>
        <xdr:cNvSpPr>
          <a:spLocks noChangeArrowheads="1"/>
        </xdr:cNvSpPr>
      </xdr:nvSpPr>
      <xdr:spPr bwMode="auto">
        <a:xfrm>
          <a:off x="14954250" y="1612900"/>
          <a:ext cx="1035050" cy="6350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22</xdr:col>
      <xdr:colOff>95250</xdr:colOff>
      <xdr:row>15</xdr:row>
      <xdr:rowOff>120650</xdr:rowOff>
    </xdr:from>
    <xdr:to>
      <xdr:col>22</xdr:col>
      <xdr:colOff>558800</xdr:colOff>
      <xdr:row>19</xdr:row>
      <xdr:rowOff>82550</xdr:rowOff>
    </xdr:to>
    <xdr:sp macro="" textlink="">
      <xdr:nvSpPr>
        <xdr:cNvPr id="553668" name="Line 117">
          <a:extLst>
            <a:ext uri="{FF2B5EF4-FFF2-40B4-BE49-F238E27FC236}">
              <a16:creationId xmlns:a16="http://schemas.microsoft.com/office/drawing/2014/main" id="{51817537-E7C8-467D-9A8F-0307F7DD2171}"/>
            </a:ext>
          </a:extLst>
        </xdr:cNvPr>
        <xdr:cNvSpPr>
          <a:spLocks noChangeShapeType="1"/>
        </xdr:cNvSpPr>
      </xdr:nvSpPr>
      <xdr:spPr bwMode="auto">
        <a:xfrm flipV="1">
          <a:off x="14655800" y="2578100"/>
          <a:ext cx="463550" cy="596900"/>
        </a:xfrm>
        <a:prstGeom prst="line">
          <a:avLst/>
        </a:prstGeom>
        <a:noFill/>
        <a:ln w="2857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23</xdr:col>
      <xdr:colOff>304800</xdr:colOff>
      <xdr:row>2</xdr:row>
      <xdr:rowOff>82550</xdr:rowOff>
    </xdr:from>
    <xdr:to>
      <xdr:col>23</xdr:col>
      <xdr:colOff>304800</xdr:colOff>
      <xdr:row>9</xdr:row>
      <xdr:rowOff>107950</xdr:rowOff>
    </xdr:to>
    <xdr:sp macro="" textlink="">
      <xdr:nvSpPr>
        <xdr:cNvPr id="553669" name="Line 118">
          <a:extLst>
            <a:ext uri="{FF2B5EF4-FFF2-40B4-BE49-F238E27FC236}">
              <a16:creationId xmlns:a16="http://schemas.microsoft.com/office/drawing/2014/main" id="{957841B8-8600-4B8F-953E-C44A9E30111A}"/>
            </a:ext>
          </a:extLst>
        </xdr:cNvPr>
        <xdr:cNvSpPr>
          <a:spLocks noChangeShapeType="1"/>
        </xdr:cNvSpPr>
      </xdr:nvSpPr>
      <xdr:spPr bwMode="auto">
        <a:xfrm flipV="1">
          <a:off x="15481300" y="476250"/>
          <a:ext cx="0" cy="11366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23</xdr:col>
      <xdr:colOff>292100</xdr:colOff>
      <xdr:row>15</xdr:row>
      <xdr:rowOff>107950</xdr:rowOff>
    </xdr:from>
    <xdr:to>
      <xdr:col>23</xdr:col>
      <xdr:colOff>292100</xdr:colOff>
      <xdr:row>22</xdr:row>
      <xdr:rowOff>82550</xdr:rowOff>
    </xdr:to>
    <xdr:sp macro="" textlink="">
      <xdr:nvSpPr>
        <xdr:cNvPr id="553670" name="Line 119">
          <a:extLst>
            <a:ext uri="{FF2B5EF4-FFF2-40B4-BE49-F238E27FC236}">
              <a16:creationId xmlns:a16="http://schemas.microsoft.com/office/drawing/2014/main" id="{D90EA0C9-2EBC-4EB8-93AD-7411A8534818}"/>
            </a:ext>
          </a:extLst>
        </xdr:cNvPr>
        <xdr:cNvSpPr>
          <a:spLocks noChangeShapeType="1"/>
        </xdr:cNvSpPr>
      </xdr:nvSpPr>
      <xdr:spPr bwMode="auto">
        <a:xfrm flipV="1">
          <a:off x="15468600" y="2565400"/>
          <a:ext cx="0" cy="10858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24</xdr:col>
      <xdr:colOff>234950</xdr:colOff>
      <xdr:row>12</xdr:row>
      <xdr:rowOff>107950</xdr:rowOff>
    </xdr:from>
    <xdr:to>
      <xdr:col>25</xdr:col>
      <xdr:colOff>292100</xdr:colOff>
      <xdr:row>12</xdr:row>
      <xdr:rowOff>107950</xdr:rowOff>
    </xdr:to>
    <xdr:sp macro="" textlink="">
      <xdr:nvSpPr>
        <xdr:cNvPr id="553671" name="Line 120">
          <a:extLst>
            <a:ext uri="{FF2B5EF4-FFF2-40B4-BE49-F238E27FC236}">
              <a16:creationId xmlns:a16="http://schemas.microsoft.com/office/drawing/2014/main" id="{AAF8B526-A979-40DD-BAF4-313FE677E7CA}"/>
            </a:ext>
          </a:extLst>
        </xdr:cNvPr>
        <xdr:cNvSpPr>
          <a:spLocks noChangeShapeType="1"/>
        </xdr:cNvSpPr>
      </xdr:nvSpPr>
      <xdr:spPr bwMode="auto">
        <a:xfrm>
          <a:off x="16027400" y="2089150"/>
          <a:ext cx="67310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21</xdr:col>
      <xdr:colOff>311150</xdr:colOff>
      <xdr:row>12</xdr:row>
      <xdr:rowOff>107950</xdr:rowOff>
    </xdr:from>
    <xdr:to>
      <xdr:col>22</xdr:col>
      <xdr:colOff>374650</xdr:colOff>
      <xdr:row>12</xdr:row>
      <xdr:rowOff>107950</xdr:rowOff>
    </xdr:to>
    <xdr:sp macro="" textlink="">
      <xdr:nvSpPr>
        <xdr:cNvPr id="553672" name="Line 121">
          <a:extLst>
            <a:ext uri="{FF2B5EF4-FFF2-40B4-BE49-F238E27FC236}">
              <a16:creationId xmlns:a16="http://schemas.microsoft.com/office/drawing/2014/main" id="{4A504B6C-3C61-41BE-88FB-926A7ABAE5F7}"/>
            </a:ext>
          </a:extLst>
        </xdr:cNvPr>
        <xdr:cNvSpPr>
          <a:spLocks noChangeShapeType="1"/>
        </xdr:cNvSpPr>
      </xdr:nvSpPr>
      <xdr:spPr bwMode="auto">
        <a:xfrm>
          <a:off x="14255750" y="2089150"/>
          <a:ext cx="67945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editAs="oneCell">
    <xdr:from>
      <xdr:col>23</xdr:col>
      <xdr:colOff>450850</xdr:colOff>
      <xdr:row>2</xdr:row>
      <xdr:rowOff>12700</xdr:rowOff>
    </xdr:from>
    <xdr:to>
      <xdr:col>23</xdr:col>
      <xdr:colOff>533400</xdr:colOff>
      <xdr:row>3</xdr:row>
      <xdr:rowOff>50800</xdr:rowOff>
    </xdr:to>
    <xdr:sp macro="" textlink="">
      <xdr:nvSpPr>
        <xdr:cNvPr id="553673" name="Text Box 122">
          <a:extLst>
            <a:ext uri="{FF2B5EF4-FFF2-40B4-BE49-F238E27FC236}">
              <a16:creationId xmlns:a16="http://schemas.microsoft.com/office/drawing/2014/main" id="{F58C1C4B-133E-47CA-8226-42AFDB9A192E}"/>
            </a:ext>
          </a:extLst>
        </xdr:cNvPr>
        <xdr:cNvSpPr txBox="1">
          <a:spLocks noChangeArrowheads="1"/>
        </xdr:cNvSpPr>
      </xdr:nvSpPr>
      <xdr:spPr bwMode="auto">
        <a:xfrm>
          <a:off x="15627350" y="406400"/>
          <a:ext cx="82550" cy="196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23</xdr:col>
      <xdr:colOff>193675</xdr:colOff>
      <xdr:row>22</xdr:row>
      <xdr:rowOff>117475</xdr:rowOff>
    </xdr:from>
    <xdr:ext cx="139506" cy="176972"/>
    <xdr:sp macro="" textlink="">
      <xdr:nvSpPr>
        <xdr:cNvPr id="10363" name="Text Box 123">
          <a:extLst>
            <a:ext uri="{FF2B5EF4-FFF2-40B4-BE49-F238E27FC236}">
              <a16:creationId xmlns:a16="http://schemas.microsoft.com/office/drawing/2014/main" id="{B3B88EF2-52C7-4FAC-B69C-0660349388C0}"/>
            </a:ext>
          </a:extLst>
        </xdr:cNvPr>
        <xdr:cNvSpPr txBox="1">
          <a:spLocks noChangeArrowheads="1"/>
        </xdr:cNvSpPr>
      </xdr:nvSpPr>
      <xdr:spPr bwMode="auto">
        <a:xfrm>
          <a:off x="16892058" y="3540125"/>
          <a:ext cx="139506"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21</xdr:col>
      <xdr:colOff>73025</xdr:colOff>
      <xdr:row>12</xdr:row>
      <xdr:rowOff>28575</xdr:rowOff>
    </xdr:from>
    <xdr:ext cx="178895" cy="170560"/>
    <xdr:sp macro="" textlink="">
      <xdr:nvSpPr>
        <xdr:cNvPr id="10364" name="Text Box 124">
          <a:extLst>
            <a:ext uri="{FF2B5EF4-FFF2-40B4-BE49-F238E27FC236}">
              <a16:creationId xmlns:a16="http://schemas.microsoft.com/office/drawing/2014/main" id="{1BE5878C-4171-4F40-BFD7-B1E6593A2DCB}"/>
            </a:ext>
          </a:extLst>
        </xdr:cNvPr>
        <xdr:cNvSpPr txBox="1">
          <a:spLocks noChangeArrowheads="1"/>
        </xdr:cNvSpPr>
      </xdr:nvSpPr>
      <xdr:spPr bwMode="auto">
        <a:xfrm>
          <a:off x="14055725" y="2035175"/>
          <a:ext cx="17889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25</xdr:col>
      <xdr:colOff>307975</xdr:colOff>
      <xdr:row>12</xdr:row>
      <xdr:rowOff>9525</xdr:rowOff>
    </xdr:from>
    <xdr:ext cx="146707" cy="170560"/>
    <xdr:sp macro="" textlink="">
      <xdr:nvSpPr>
        <xdr:cNvPr id="10365" name="Text Box 125">
          <a:extLst>
            <a:ext uri="{FF2B5EF4-FFF2-40B4-BE49-F238E27FC236}">
              <a16:creationId xmlns:a16="http://schemas.microsoft.com/office/drawing/2014/main" id="{051ADA1B-435C-43B3-B12A-769CD2EC38F2}"/>
            </a:ext>
          </a:extLst>
        </xdr:cNvPr>
        <xdr:cNvSpPr txBox="1">
          <a:spLocks noChangeArrowheads="1"/>
        </xdr:cNvSpPr>
      </xdr:nvSpPr>
      <xdr:spPr bwMode="auto">
        <a:xfrm>
          <a:off x="16762942" y="2016125"/>
          <a:ext cx="146707"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23</xdr:col>
      <xdr:colOff>187325</xdr:colOff>
      <xdr:row>12</xdr:row>
      <xdr:rowOff>0</xdr:rowOff>
    </xdr:from>
    <xdr:ext cx="178895" cy="170560"/>
    <xdr:sp macro="" textlink="">
      <xdr:nvSpPr>
        <xdr:cNvPr id="10366" name="Text Box 126">
          <a:extLst>
            <a:ext uri="{FF2B5EF4-FFF2-40B4-BE49-F238E27FC236}">
              <a16:creationId xmlns:a16="http://schemas.microsoft.com/office/drawing/2014/main" id="{904C6072-55BE-4CD6-9A53-7DF24286BE59}"/>
            </a:ext>
          </a:extLst>
        </xdr:cNvPr>
        <xdr:cNvSpPr txBox="1">
          <a:spLocks noChangeArrowheads="1"/>
        </xdr:cNvSpPr>
      </xdr:nvSpPr>
      <xdr:spPr bwMode="auto">
        <a:xfrm>
          <a:off x="15406158" y="2006600"/>
          <a:ext cx="17889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+Y</a:t>
          </a:r>
        </a:p>
      </xdr:txBody>
    </xdr:sp>
    <xdr:clientData/>
  </xdr:oneCellAnchor>
  <xdr:twoCellAnchor>
    <xdr:from>
      <xdr:col>22</xdr:col>
      <xdr:colOff>139700</xdr:colOff>
      <xdr:row>12</xdr:row>
      <xdr:rowOff>133350</xdr:rowOff>
    </xdr:from>
    <xdr:to>
      <xdr:col>23</xdr:col>
      <xdr:colOff>266700</xdr:colOff>
      <xdr:row>22</xdr:row>
      <xdr:rowOff>107950</xdr:rowOff>
    </xdr:to>
    <xdr:sp macro="" textlink="">
      <xdr:nvSpPr>
        <xdr:cNvPr id="553678" name="Line 127">
          <a:extLst>
            <a:ext uri="{FF2B5EF4-FFF2-40B4-BE49-F238E27FC236}">
              <a16:creationId xmlns:a16="http://schemas.microsoft.com/office/drawing/2014/main" id="{0D2FC70A-965F-4346-A06B-4AD0985C227C}"/>
            </a:ext>
          </a:extLst>
        </xdr:cNvPr>
        <xdr:cNvSpPr>
          <a:spLocks noChangeShapeType="1"/>
        </xdr:cNvSpPr>
      </xdr:nvSpPr>
      <xdr:spPr bwMode="auto">
        <a:xfrm flipH="1">
          <a:off x="14700250" y="2114550"/>
          <a:ext cx="742950" cy="1562100"/>
        </a:xfrm>
        <a:prstGeom prst="line">
          <a:avLst/>
        </a:prstGeom>
        <a:noFill/>
        <a:ln w="9525">
          <a:solidFill>
            <a:srgbClr val="FF0000"/>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22</xdr:col>
      <xdr:colOff>463550</xdr:colOff>
      <xdr:row>20</xdr:row>
      <xdr:rowOff>117475</xdr:rowOff>
    </xdr:from>
    <xdr:ext cx="296230" cy="176972"/>
    <xdr:sp macro="" textlink="">
      <xdr:nvSpPr>
        <xdr:cNvPr id="10368" name="Text Box 128">
          <a:extLst>
            <a:ext uri="{FF2B5EF4-FFF2-40B4-BE49-F238E27FC236}">
              <a16:creationId xmlns:a16="http://schemas.microsoft.com/office/drawing/2014/main" id="{7CDBC07C-4455-407B-8C5D-854D62D9C137}"/>
            </a:ext>
          </a:extLst>
        </xdr:cNvPr>
        <xdr:cNvSpPr txBox="1">
          <a:spLocks noChangeArrowheads="1"/>
        </xdr:cNvSpPr>
      </xdr:nvSpPr>
      <xdr:spPr bwMode="auto">
        <a:xfrm>
          <a:off x="16421100" y="3235325"/>
          <a:ext cx="23040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2,3</a:t>
          </a:r>
        </a:p>
      </xdr:txBody>
    </xdr:sp>
    <xdr:clientData/>
  </xdr:oneCellAnchor>
  <xdr:twoCellAnchor>
    <xdr:from>
      <xdr:col>22</xdr:col>
      <xdr:colOff>266700</xdr:colOff>
      <xdr:row>21</xdr:row>
      <xdr:rowOff>0</xdr:rowOff>
    </xdr:from>
    <xdr:to>
      <xdr:col>22</xdr:col>
      <xdr:colOff>419100</xdr:colOff>
      <xdr:row>21</xdr:row>
      <xdr:rowOff>50800</xdr:rowOff>
    </xdr:to>
    <xdr:sp macro="" textlink="">
      <xdr:nvSpPr>
        <xdr:cNvPr id="553680" name="Line 129">
          <a:extLst>
            <a:ext uri="{FF2B5EF4-FFF2-40B4-BE49-F238E27FC236}">
              <a16:creationId xmlns:a16="http://schemas.microsoft.com/office/drawing/2014/main" id="{631716A4-398B-4822-9E26-0EDFE0F9C009}"/>
            </a:ext>
          </a:extLst>
        </xdr:cNvPr>
        <xdr:cNvSpPr>
          <a:spLocks noChangeShapeType="1"/>
        </xdr:cNvSpPr>
      </xdr:nvSpPr>
      <xdr:spPr bwMode="auto">
        <a:xfrm flipH="1" flipV="1">
          <a:off x="14827250" y="3409950"/>
          <a:ext cx="152400" cy="508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23</xdr:col>
      <xdr:colOff>139700</xdr:colOff>
      <xdr:row>21</xdr:row>
      <xdr:rowOff>50800</xdr:rowOff>
    </xdr:from>
    <xdr:to>
      <xdr:col>23</xdr:col>
      <xdr:colOff>304800</xdr:colOff>
      <xdr:row>21</xdr:row>
      <xdr:rowOff>76200</xdr:rowOff>
    </xdr:to>
    <xdr:sp macro="" textlink="">
      <xdr:nvSpPr>
        <xdr:cNvPr id="553681" name="Line 130">
          <a:extLst>
            <a:ext uri="{FF2B5EF4-FFF2-40B4-BE49-F238E27FC236}">
              <a16:creationId xmlns:a16="http://schemas.microsoft.com/office/drawing/2014/main" id="{A04CC50D-1880-4537-9717-48E90FF76339}"/>
            </a:ext>
          </a:extLst>
        </xdr:cNvPr>
        <xdr:cNvSpPr>
          <a:spLocks noChangeShapeType="1"/>
        </xdr:cNvSpPr>
      </xdr:nvSpPr>
      <xdr:spPr bwMode="auto">
        <a:xfrm flipV="1">
          <a:off x="15316200" y="3460750"/>
          <a:ext cx="165100" cy="25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23</xdr:col>
      <xdr:colOff>9525</xdr:colOff>
      <xdr:row>23</xdr:row>
      <xdr:rowOff>111125</xdr:rowOff>
    </xdr:from>
    <xdr:ext cx="517276" cy="176972"/>
    <xdr:sp macro="" textlink="">
      <xdr:nvSpPr>
        <xdr:cNvPr id="10371" name="Text Box 131">
          <a:extLst>
            <a:ext uri="{FF2B5EF4-FFF2-40B4-BE49-F238E27FC236}">
              <a16:creationId xmlns:a16="http://schemas.microsoft.com/office/drawing/2014/main" id="{68C08607-A8F1-4613-82E8-402D96E09083}"/>
            </a:ext>
          </a:extLst>
        </xdr:cNvPr>
        <xdr:cNvSpPr txBox="1">
          <a:spLocks noChangeArrowheads="1"/>
        </xdr:cNvSpPr>
      </xdr:nvSpPr>
      <xdr:spPr bwMode="auto">
        <a:xfrm>
          <a:off x="16688858" y="3686175"/>
          <a:ext cx="517276"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Figure</a:t>
          </a:r>
          <a:r>
            <a:rPr lang="en-US" sz="1000" b="0" i="0" strike="noStrike">
              <a:solidFill>
                <a:srgbClr val="000000"/>
              </a:solidFill>
              <a:latin typeface="Arial"/>
              <a:cs typeface="Arial"/>
            </a:rPr>
            <a:t> </a:t>
          </a:r>
          <a:r>
            <a:rPr lang="en-US" sz="1000" b="1" i="0" strike="noStrike">
              <a:solidFill>
                <a:srgbClr val="000000"/>
              </a:solidFill>
              <a:latin typeface="Arial"/>
              <a:cs typeface="Arial"/>
            </a:rPr>
            <a:t>5</a:t>
          </a:r>
        </a:p>
      </xdr:txBody>
    </xdr:sp>
    <xdr:clientData/>
  </xdr:oneCellAnchor>
  <xdr:oneCellAnchor>
    <xdr:from>
      <xdr:col>23</xdr:col>
      <xdr:colOff>568325</xdr:colOff>
      <xdr:row>20</xdr:row>
      <xdr:rowOff>38100</xdr:rowOff>
    </xdr:from>
    <xdr:ext cx="1086719" cy="170870"/>
    <xdr:sp macro="" textlink="">
      <xdr:nvSpPr>
        <xdr:cNvPr id="10372" name="Text Box 132">
          <a:extLst>
            <a:ext uri="{FF2B5EF4-FFF2-40B4-BE49-F238E27FC236}">
              <a16:creationId xmlns:a16="http://schemas.microsoft.com/office/drawing/2014/main" id="{55DA0AFA-DC5F-41F7-8319-3558F01A4CE8}"/>
            </a:ext>
          </a:extLst>
        </xdr:cNvPr>
        <xdr:cNvSpPr txBox="1">
          <a:spLocks noChangeArrowheads="1"/>
        </xdr:cNvSpPr>
      </xdr:nvSpPr>
      <xdr:spPr bwMode="auto">
        <a:xfrm>
          <a:off x="17304808" y="3162300"/>
          <a:ext cx="994983"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Canted Turnstyle</a:t>
          </a:r>
        </a:p>
      </xdr:txBody>
    </xdr:sp>
    <xdr:clientData/>
  </xdr:oneCellAnchor>
  <xdr:oneCellAnchor>
    <xdr:from>
      <xdr:col>17</xdr:col>
      <xdr:colOff>155575</xdr:colOff>
      <xdr:row>1</xdr:row>
      <xdr:rowOff>76200</xdr:rowOff>
    </xdr:from>
    <xdr:ext cx="171714" cy="170560"/>
    <xdr:sp macro="" textlink="">
      <xdr:nvSpPr>
        <xdr:cNvPr id="10373" name="Text Box 133">
          <a:extLst>
            <a:ext uri="{FF2B5EF4-FFF2-40B4-BE49-F238E27FC236}">
              <a16:creationId xmlns:a16="http://schemas.microsoft.com/office/drawing/2014/main" id="{8BC4D0C7-00C7-40B3-A067-F5AB31C951FF}"/>
            </a:ext>
          </a:extLst>
        </xdr:cNvPr>
        <xdr:cNvSpPr txBox="1">
          <a:spLocks noChangeArrowheads="1"/>
        </xdr:cNvSpPr>
      </xdr:nvSpPr>
      <xdr:spPr bwMode="auto">
        <a:xfrm>
          <a:off x="11623675" y="313267"/>
          <a:ext cx="171714"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23</xdr:col>
      <xdr:colOff>196850</xdr:colOff>
      <xdr:row>1</xdr:row>
      <xdr:rowOff>76200</xdr:rowOff>
    </xdr:from>
    <xdr:ext cx="171714" cy="170560"/>
    <xdr:sp macro="" textlink="">
      <xdr:nvSpPr>
        <xdr:cNvPr id="10374" name="Text Box 134">
          <a:extLst>
            <a:ext uri="{FF2B5EF4-FFF2-40B4-BE49-F238E27FC236}">
              <a16:creationId xmlns:a16="http://schemas.microsoft.com/office/drawing/2014/main" id="{C3335E63-92A4-4762-B535-CDBA6BD3D1B7}"/>
            </a:ext>
          </a:extLst>
        </xdr:cNvPr>
        <xdr:cNvSpPr txBox="1">
          <a:spLocks noChangeArrowheads="1"/>
        </xdr:cNvSpPr>
      </xdr:nvSpPr>
      <xdr:spPr bwMode="auto">
        <a:xfrm>
          <a:off x="15415683" y="313267"/>
          <a:ext cx="171714"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twoCellAnchor>
    <xdr:from>
      <xdr:col>24</xdr:col>
      <xdr:colOff>44450</xdr:colOff>
      <xdr:row>15</xdr:row>
      <xdr:rowOff>120650</xdr:rowOff>
    </xdr:from>
    <xdr:to>
      <xdr:col>24</xdr:col>
      <xdr:colOff>514350</xdr:colOff>
      <xdr:row>19</xdr:row>
      <xdr:rowOff>82550</xdr:rowOff>
    </xdr:to>
    <xdr:sp macro="" textlink="">
      <xdr:nvSpPr>
        <xdr:cNvPr id="553686" name="Line 135">
          <a:extLst>
            <a:ext uri="{FF2B5EF4-FFF2-40B4-BE49-F238E27FC236}">
              <a16:creationId xmlns:a16="http://schemas.microsoft.com/office/drawing/2014/main" id="{F446EDF8-ACC4-4767-99ED-E434134A0B1C}"/>
            </a:ext>
          </a:extLst>
        </xdr:cNvPr>
        <xdr:cNvSpPr>
          <a:spLocks noChangeShapeType="1"/>
        </xdr:cNvSpPr>
      </xdr:nvSpPr>
      <xdr:spPr bwMode="auto">
        <a:xfrm flipH="1" flipV="1">
          <a:off x="15836900" y="2578100"/>
          <a:ext cx="469900" cy="596900"/>
        </a:xfrm>
        <a:prstGeom prst="line">
          <a:avLst/>
        </a:prstGeom>
        <a:noFill/>
        <a:ln w="2857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28</xdr:col>
      <xdr:colOff>323850</xdr:colOff>
      <xdr:row>10</xdr:row>
      <xdr:rowOff>12700</xdr:rowOff>
    </xdr:from>
    <xdr:to>
      <xdr:col>30</xdr:col>
      <xdr:colOff>127000</xdr:colOff>
      <xdr:row>15</xdr:row>
      <xdr:rowOff>25400</xdr:rowOff>
    </xdr:to>
    <xdr:sp macro="" textlink="">
      <xdr:nvSpPr>
        <xdr:cNvPr id="553687" name="Rectangle 136" descr="Large grid">
          <a:extLst>
            <a:ext uri="{FF2B5EF4-FFF2-40B4-BE49-F238E27FC236}">
              <a16:creationId xmlns:a16="http://schemas.microsoft.com/office/drawing/2014/main" id="{1F2DF4EA-207C-425A-BF9D-35E3A6A4AB45}"/>
            </a:ext>
          </a:extLst>
        </xdr:cNvPr>
        <xdr:cNvSpPr>
          <a:spLocks noChangeArrowheads="1"/>
        </xdr:cNvSpPr>
      </xdr:nvSpPr>
      <xdr:spPr bwMode="auto">
        <a:xfrm>
          <a:off x="18580100" y="1676400"/>
          <a:ext cx="1035050" cy="806450"/>
        </a:xfrm>
        <a:prstGeom prst="rect">
          <a:avLst/>
        </a:prstGeom>
        <a:pattFill prst="lgGrid">
          <a:fgClr>
            <a:srgbClr val="000080"/>
          </a:fgClr>
          <a:bgClr>
            <a:srgbClr val="0000FF"/>
          </a:bgClr>
        </a:pattFill>
        <a:ln w="9525">
          <a:solidFill>
            <a:srgbClr val="000000"/>
          </a:solidFill>
          <a:miter lim="800000"/>
          <a:headEnd/>
          <a:tailEnd/>
        </a:ln>
      </xdr:spPr>
    </xdr:sp>
    <xdr:clientData/>
  </xdr:twoCellAnchor>
  <xdr:twoCellAnchor>
    <xdr:from>
      <xdr:col>28</xdr:col>
      <xdr:colOff>323850</xdr:colOff>
      <xdr:row>15</xdr:row>
      <xdr:rowOff>25400</xdr:rowOff>
    </xdr:from>
    <xdr:to>
      <xdr:col>30</xdr:col>
      <xdr:colOff>127000</xdr:colOff>
      <xdr:row>15</xdr:row>
      <xdr:rowOff>107950</xdr:rowOff>
    </xdr:to>
    <xdr:sp macro="" textlink="">
      <xdr:nvSpPr>
        <xdr:cNvPr id="553688" name="Rectangle 137">
          <a:extLst>
            <a:ext uri="{FF2B5EF4-FFF2-40B4-BE49-F238E27FC236}">
              <a16:creationId xmlns:a16="http://schemas.microsoft.com/office/drawing/2014/main" id="{FCD7DE03-91C4-4048-8CD2-FE835E533F7A}"/>
            </a:ext>
          </a:extLst>
        </xdr:cNvPr>
        <xdr:cNvSpPr>
          <a:spLocks noChangeArrowheads="1"/>
        </xdr:cNvSpPr>
      </xdr:nvSpPr>
      <xdr:spPr bwMode="auto">
        <a:xfrm>
          <a:off x="18580100" y="2482850"/>
          <a:ext cx="1035050" cy="8255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28</xdr:col>
      <xdr:colOff>323850</xdr:colOff>
      <xdr:row>9</xdr:row>
      <xdr:rowOff>82550</xdr:rowOff>
    </xdr:from>
    <xdr:to>
      <xdr:col>30</xdr:col>
      <xdr:colOff>127000</xdr:colOff>
      <xdr:row>10</xdr:row>
      <xdr:rowOff>0</xdr:rowOff>
    </xdr:to>
    <xdr:sp macro="" textlink="">
      <xdr:nvSpPr>
        <xdr:cNvPr id="553689" name="Rectangle 138">
          <a:extLst>
            <a:ext uri="{FF2B5EF4-FFF2-40B4-BE49-F238E27FC236}">
              <a16:creationId xmlns:a16="http://schemas.microsoft.com/office/drawing/2014/main" id="{143A2EC7-6D21-4555-B214-BD1C889C5597}"/>
            </a:ext>
          </a:extLst>
        </xdr:cNvPr>
        <xdr:cNvSpPr>
          <a:spLocks noChangeArrowheads="1"/>
        </xdr:cNvSpPr>
      </xdr:nvSpPr>
      <xdr:spPr bwMode="auto">
        <a:xfrm>
          <a:off x="18580100" y="1587500"/>
          <a:ext cx="1035050" cy="7620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29</xdr:col>
      <xdr:colOff>241300</xdr:colOff>
      <xdr:row>7</xdr:row>
      <xdr:rowOff>25400</xdr:rowOff>
    </xdr:from>
    <xdr:to>
      <xdr:col>29</xdr:col>
      <xdr:colOff>241300</xdr:colOff>
      <xdr:row>9</xdr:row>
      <xdr:rowOff>82550</xdr:rowOff>
    </xdr:to>
    <xdr:sp macro="" textlink="">
      <xdr:nvSpPr>
        <xdr:cNvPr id="553690" name="Line 139">
          <a:extLst>
            <a:ext uri="{FF2B5EF4-FFF2-40B4-BE49-F238E27FC236}">
              <a16:creationId xmlns:a16="http://schemas.microsoft.com/office/drawing/2014/main" id="{ECF00106-9EF4-4A1D-8F20-A9ED0601BE43}"/>
            </a:ext>
          </a:extLst>
        </xdr:cNvPr>
        <xdr:cNvSpPr>
          <a:spLocks noChangeShapeType="1"/>
        </xdr:cNvSpPr>
      </xdr:nvSpPr>
      <xdr:spPr bwMode="auto">
        <a:xfrm flipV="1">
          <a:off x="19113500" y="1212850"/>
          <a:ext cx="0" cy="374650"/>
        </a:xfrm>
        <a:prstGeom prst="line">
          <a:avLst/>
        </a:prstGeom>
        <a:noFill/>
        <a:ln w="2857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29</xdr:col>
      <xdr:colOff>234950</xdr:colOff>
      <xdr:row>2</xdr:row>
      <xdr:rowOff>50800</xdr:rowOff>
    </xdr:from>
    <xdr:to>
      <xdr:col>29</xdr:col>
      <xdr:colOff>234950</xdr:colOff>
      <xdr:row>5</xdr:row>
      <xdr:rowOff>0</xdr:rowOff>
    </xdr:to>
    <xdr:sp macro="" textlink="">
      <xdr:nvSpPr>
        <xdr:cNvPr id="553691" name="Line 140">
          <a:extLst>
            <a:ext uri="{FF2B5EF4-FFF2-40B4-BE49-F238E27FC236}">
              <a16:creationId xmlns:a16="http://schemas.microsoft.com/office/drawing/2014/main" id="{58944CBD-DBFB-49F4-8EB9-BB0AE3E9447A}"/>
            </a:ext>
          </a:extLst>
        </xdr:cNvPr>
        <xdr:cNvSpPr>
          <a:spLocks noChangeShapeType="1"/>
        </xdr:cNvSpPr>
      </xdr:nvSpPr>
      <xdr:spPr bwMode="auto">
        <a:xfrm flipV="1">
          <a:off x="19107150" y="444500"/>
          <a:ext cx="0" cy="4254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29</xdr:col>
      <xdr:colOff>222250</xdr:colOff>
      <xdr:row>15</xdr:row>
      <xdr:rowOff>95250</xdr:rowOff>
    </xdr:from>
    <xdr:to>
      <xdr:col>29</xdr:col>
      <xdr:colOff>222250</xdr:colOff>
      <xdr:row>22</xdr:row>
      <xdr:rowOff>50800</xdr:rowOff>
    </xdr:to>
    <xdr:sp macro="" textlink="">
      <xdr:nvSpPr>
        <xdr:cNvPr id="553692" name="Line 141">
          <a:extLst>
            <a:ext uri="{FF2B5EF4-FFF2-40B4-BE49-F238E27FC236}">
              <a16:creationId xmlns:a16="http://schemas.microsoft.com/office/drawing/2014/main" id="{ADDF838B-AFA5-45FB-AD00-BC5CA45EC9AA}"/>
            </a:ext>
          </a:extLst>
        </xdr:cNvPr>
        <xdr:cNvSpPr>
          <a:spLocks noChangeShapeType="1"/>
        </xdr:cNvSpPr>
      </xdr:nvSpPr>
      <xdr:spPr bwMode="auto">
        <a:xfrm flipV="1">
          <a:off x="19094450" y="2552700"/>
          <a:ext cx="0" cy="106680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30</xdr:col>
      <xdr:colOff>165100</xdr:colOff>
      <xdr:row>12</xdr:row>
      <xdr:rowOff>82550</xdr:rowOff>
    </xdr:from>
    <xdr:to>
      <xdr:col>31</xdr:col>
      <xdr:colOff>222250</xdr:colOff>
      <xdr:row>12</xdr:row>
      <xdr:rowOff>82550</xdr:rowOff>
    </xdr:to>
    <xdr:sp macro="" textlink="">
      <xdr:nvSpPr>
        <xdr:cNvPr id="553693" name="Line 142">
          <a:extLst>
            <a:ext uri="{FF2B5EF4-FFF2-40B4-BE49-F238E27FC236}">
              <a16:creationId xmlns:a16="http://schemas.microsoft.com/office/drawing/2014/main" id="{BF964180-3793-4C80-BE5F-450ACC3E242E}"/>
            </a:ext>
          </a:extLst>
        </xdr:cNvPr>
        <xdr:cNvSpPr>
          <a:spLocks noChangeShapeType="1"/>
        </xdr:cNvSpPr>
      </xdr:nvSpPr>
      <xdr:spPr bwMode="auto">
        <a:xfrm>
          <a:off x="19653250" y="2063750"/>
          <a:ext cx="67310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27</xdr:col>
      <xdr:colOff>254000</xdr:colOff>
      <xdr:row>12</xdr:row>
      <xdr:rowOff>82550</xdr:rowOff>
    </xdr:from>
    <xdr:to>
      <xdr:col>28</xdr:col>
      <xdr:colOff>311150</xdr:colOff>
      <xdr:row>12</xdr:row>
      <xdr:rowOff>82550</xdr:rowOff>
    </xdr:to>
    <xdr:sp macro="" textlink="">
      <xdr:nvSpPr>
        <xdr:cNvPr id="553694" name="Line 143">
          <a:extLst>
            <a:ext uri="{FF2B5EF4-FFF2-40B4-BE49-F238E27FC236}">
              <a16:creationId xmlns:a16="http://schemas.microsoft.com/office/drawing/2014/main" id="{0B1D8383-62EA-402A-B631-1894EE6F234B}"/>
            </a:ext>
          </a:extLst>
        </xdr:cNvPr>
        <xdr:cNvSpPr>
          <a:spLocks noChangeShapeType="1"/>
        </xdr:cNvSpPr>
      </xdr:nvSpPr>
      <xdr:spPr bwMode="auto">
        <a:xfrm>
          <a:off x="17894300" y="2063750"/>
          <a:ext cx="67310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editAs="oneCell">
    <xdr:from>
      <xdr:col>29</xdr:col>
      <xdr:colOff>374650</xdr:colOff>
      <xdr:row>1</xdr:row>
      <xdr:rowOff>152400</xdr:rowOff>
    </xdr:from>
    <xdr:to>
      <xdr:col>29</xdr:col>
      <xdr:colOff>450850</xdr:colOff>
      <xdr:row>3</xdr:row>
      <xdr:rowOff>25400</xdr:rowOff>
    </xdr:to>
    <xdr:sp macro="" textlink="">
      <xdr:nvSpPr>
        <xdr:cNvPr id="553695" name="Text Box 144">
          <a:extLst>
            <a:ext uri="{FF2B5EF4-FFF2-40B4-BE49-F238E27FC236}">
              <a16:creationId xmlns:a16="http://schemas.microsoft.com/office/drawing/2014/main" id="{47CD7C54-6DB0-4C96-8D2B-BEFB3B6C0471}"/>
            </a:ext>
          </a:extLst>
        </xdr:cNvPr>
        <xdr:cNvSpPr txBox="1">
          <a:spLocks noChangeArrowheads="1"/>
        </xdr:cNvSpPr>
      </xdr:nvSpPr>
      <xdr:spPr bwMode="auto">
        <a:xfrm>
          <a:off x="19246850" y="3873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29</xdr:col>
      <xdr:colOff>123825</xdr:colOff>
      <xdr:row>1</xdr:row>
      <xdr:rowOff>0</xdr:rowOff>
    </xdr:from>
    <xdr:ext cx="178295" cy="176972"/>
    <xdr:sp macro="" textlink="">
      <xdr:nvSpPr>
        <xdr:cNvPr id="10385" name="Text Box 145">
          <a:extLst>
            <a:ext uri="{FF2B5EF4-FFF2-40B4-BE49-F238E27FC236}">
              <a16:creationId xmlns:a16="http://schemas.microsoft.com/office/drawing/2014/main" id="{CE0AB80C-17DB-4EA6-92ED-42E8B447291B}"/>
            </a:ext>
          </a:extLst>
        </xdr:cNvPr>
        <xdr:cNvSpPr txBox="1">
          <a:spLocks noChangeArrowheads="1"/>
        </xdr:cNvSpPr>
      </xdr:nvSpPr>
      <xdr:spPr bwMode="auto">
        <a:xfrm>
          <a:off x="20879858" y="228600"/>
          <a:ext cx="17169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29</xdr:col>
      <xdr:colOff>142875</xdr:colOff>
      <xdr:row>22</xdr:row>
      <xdr:rowOff>111125</xdr:rowOff>
    </xdr:from>
    <xdr:ext cx="139525" cy="170560"/>
    <xdr:sp macro="" textlink="">
      <xdr:nvSpPr>
        <xdr:cNvPr id="10386" name="Text Box 146">
          <a:extLst>
            <a:ext uri="{FF2B5EF4-FFF2-40B4-BE49-F238E27FC236}">
              <a16:creationId xmlns:a16="http://schemas.microsoft.com/office/drawing/2014/main" id="{A4E2B149-3FFC-493C-A0EF-59789B8348DB}"/>
            </a:ext>
          </a:extLst>
        </xdr:cNvPr>
        <xdr:cNvSpPr txBox="1">
          <a:spLocks noChangeArrowheads="1"/>
        </xdr:cNvSpPr>
      </xdr:nvSpPr>
      <xdr:spPr bwMode="auto">
        <a:xfrm>
          <a:off x="19070108" y="3726392"/>
          <a:ext cx="13952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26</xdr:col>
      <xdr:colOff>600075</xdr:colOff>
      <xdr:row>12</xdr:row>
      <xdr:rowOff>0</xdr:rowOff>
    </xdr:from>
    <xdr:ext cx="185179" cy="176972"/>
    <xdr:sp macro="" textlink="">
      <xdr:nvSpPr>
        <xdr:cNvPr id="10387" name="Text Box 147">
          <a:extLst>
            <a:ext uri="{FF2B5EF4-FFF2-40B4-BE49-F238E27FC236}">
              <a16:creationId xmlns:a16="http://schemas.microsoft.com/office/drawing/2014/main" id="{83708C6B-84B0-4545-873F-D6BEF37769E9}"/>
            </a:ext>
          </a:extLst>
        </xdr:cNvPr>
        <xdr:cNvSpPr txBox="1">
          <a:spLocks noChangeArrowheads="1"/>
        </xdr:cNvSpPr>
      </xdr:nvSpPr>
      <xdr:spPr bwMode="auto">
        <a:xfrm>
          <a:off x="19374908" y="1905000"/>
          <a:ext cx="18517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31</xdr:col>
      <xdr:colOff>234950</xdr:colOff>
      <xdr:row>11</xdr:row>
      <xdr:rowOff>146050</xdr:rowOff>
    </xdr:from>
    <xdr:ext cx="146707" cy="170560"/>
    <xdr:sp macro="" textlink="">
      <xdr:nvSpPr>
        <xdr:cNvPr id="10388" name="Text Box 148">
          <a:extLst>
            <a:ext uri="{FF2B5EF4-FFF2-40B4-BE49-F238E27FC236}">
              <a16:creationId xmlns:a16="http://schemas.microsoft.com/office/drawing/2014/main" id="{E3984EE1-EBC8-4620-A93F-4C32B66F2E93}"/>
            </a:ext>
          </a:extLst>
        </xdr:cNvPr>
        <xdr:cNvSpPr txBox="1">
          <a:spLocks noChangeArrowheads="1"/>
        </xdr:cNvSpPr>
      </xdr:nvSpPr>
      <xdr:spPr bwMode="auto">
        <a:xfrm>
          <a:off x="20398317" y="1991783"/>
          <a:ext cx="146707"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29</xdr:col>
      <xdr:colOff>104775</xdr:colOff>
      <xdr:row>11</xdr:row>
      <xdr:rowOff>149225</xdr:rowOff>
    </xdr:from>
    <xdr:ext cx="178895" cy="170560"/>
    <xdr:sp macro="" textlink="">
      <xdr:nvSpPr>
        <xdr:cNvPr id="10389" name="Text Box 149">
          <a:extLst>
            <a:ext uri="{FF2B5EF4-FFF2-40B4-BE49-F238E27FC236}">
              <a16:creationId xmlns:a16="http://schemas.microsoft.com/office/drawing/2014/main" id="{2BC2833C-A833-44AE-9C7D-1F7153FA073A}"/>
            </a:ext>
          </a:extLst>
        </xdr:cNvPr>
        <xdr:cNvSpPr txBox="1">
          <a:spLocks noChangeArrowheads="1"/>
        </xdr:cNvSpPr>
      </xdr:nvSpPr>
      <xdr:spPr bwMode="auto">
        <a:xfrm>
          <a:off x="19032008" y="1994958"/>
          <a:ext cx="17889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+Y</a:t>
          </a:r>
        </a:p>
      </xdr:txBody>
    </xdr:sp>
    <xdr:clientData/>
  </xdr:oneCellAnchor>
  <xdr:twoCellAnchor>
    <xdr:from>
      <xdr:col>27</xdr:col>
      <xdr:colOff>349250</xdr:colOff>
      <xdr:row>1</xdr:row>
      <xdr:rowOff>101600</xdr:rowOff>
    </xdr:from>
    <xdr:to>
      <xdr:col>29</xdr:col>
      <xdr:colOff>196850</xdr:colOff>
      <xdr:row>9</xdr:row>
      <xdr:rowOff>82550</xdr:rowOff>
    </xdr:to>
    <xdr:sp macro="" textlink="">
      <xdr:nvSpPr>
        <xdr:cNvPr id="553701" name="Line 150">
          <a:extLst>
            <a:ext uri="{FF2B5EF4-FFF2-40B4-BE49-F238E27FC236}">
              <a16:creationId xmlns:a16="http://schemas.microsoft.com/office/drawing/2014/main" id="{BEBB0DEA-5C30-43CE-8C1B-A37499672C53}"/>
            </a:ext>
          </a:extLst>
        </xdr:cNvPr>
        <xdr:cNvSpPr>
          <a:spLocks noChangeShapeType="1"/>
        </xdr:cNvSpPr>
      </xdr:nvSpPr>
      <xdr:spPr bwMode="auto">
        <a:xfrm flipH="1" flipV="1">
          <a:off x="17989550" y="336550"/>
          <a:ext cx="1079500" cy="1250950"/>
        </a:xfrm>
        <a:prstGeom prst="line">
          <a:avLst/>
        </a:prstGeom>
        <a:noFill/>
        <a:ln w="9525">
          <a:solidFill>
            <a:srgbClr val="FF0000"/>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28</xdr:col>
      <xdr:colOff>339725</xdr:colOff>
      <xdr:row>2</xdr:row>
      <xdr:rowOff>149225</xdr:rowOff>
    </xdr:from>
    <xdr:ext cx="230401" cy="171073"/>
    <xdr:sp macro="" textlink="">
      <xdr:nvSpPr>
        <xdr:cNvPr id="10391" name="Text Box 151">
          <a:extLst>
            <a:ext uri="{FF2B5EF4-FFF2-40B4-BE49-F238E27FC236}">
              <a16:creationId xmlns:a16="http://schemas.microsoft.com/office/drawing/2014/main" id="{736BD524-4E39-4686-B4EF-9801686E87AB}"/>
            </a:ext>
          </a:extLst>
        </xdr:cNvPr>
        <xdr:cNvSpPr txBox="1">
          <a:spLocks noChangeArrowheads="1"/>
        </xdr:cNvSpPr>
      </xdr:nvSpPr>
      <xdr:spPr bwMode="auto">
        <a:xfrm>
          <a:off x="20437475" y="523875"/>
          <a:ext cx="23040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2,3</a:t>
          </a:r>
        </a:p>
      </xdr:txBody>
    </xdr:sp>
    <xdr:clientData/>
  </xdr:oneCellAnchor>
  <xdr:twoCellAnchor>
    <xdr:from>
      <xdr:col>28</xdr:col>
      <xdr:colOff>165100</xdr:colOff>
      <xdr:row>4</xdr:row>
      <xdr:rowOff>0</xdr:rowOff>
    </xdr:from>
    <xdr:to>
      <xdr:col>28</xdr:col>
      <xdr:colOff>304800</xdr:colOff>
      <xdr:row>4</xdr:row>
      <xdr:rowOff>95250</xdr:rowOff>
    </xdr:to>
    <xdr:sp macro="" textlink="">
      <xdr:nvSpPr>
        <xdr:cNvPr id="553703" name="Line 152">
          <a:extLst>
            <a:ext uri="{FF2B5EF4-FFF2-40B4-BE49-F238E27FC236}">
              <a16:creationId xmlns:a16="http://schemas.microsoft.com/office/drawing/2014/main" id="{98D004FE-BA30-4886-AE81-5A3498E890A9}"/>
            </a:ext>
          </a:extLst>
        </xdr:cNvPr>
        <xdr:cNvSpPr>
          <a:spLocks noChangeShapeType="1"/>
        </xdr:cNvSpPr>
      </xdr:nvSpPr>
      <xdr:spPr bwMode="auto">
        <a:xfrm flipH="1">
          <a:off x="18421350" y="711200"/>
          <a:ext cx="139700" cy="952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29</xdr:col>
      <xdr:colOff>31750</xdr:colOff>
      <xdr:row>3</xdr:row>
      <xdr:rowOff>50800</xdr:rowOff>
    </xdr:from>
    <xdr:to>
      <xdr:col>29</xdr:col>
      <xdr:colOff>203200</xdr:colOff>
      <xdr:row>3</xdr:row>
      <xdr:rowOff>63500</xdr:rowOff>
    </xdr:to>
    <xdr:sp macro="" textlink="">
      <xdr:nvSpPr>
        <xdr:cNvPr id="553704" name="Line 153">
          <a:extLst>
            <a:ext uri="{FF2B5EF4-FFF2-40B4-BE49-F238E27FC236}">
              <a16:creationId xmlns:a16="http://schemas.microsoft.com/office/drawing/2014/main" id="{08F6DFFF-7790-4F57-9B0D-95F27AD78A2A}"/>
            </a:ext>
          </a:extLst>
        </xdr:cNvPr>
        <xdr:cNvSpPr>
          <a:spLocks noChangeShapeType="1"/>
        </xdr:cNvSpPr>
      </xdr:nvSpPr>
      <xdr:spPr bwMode="auto">
        <a:xfrm flipV="1">
          <a:off x="18903950" y="603250"/>
          <a:ext cx="171450" cy="127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28</xdr:col>
      <xdr:colOff>568325</xdr:colOff>
      <xdr:row>23</xdr:row>
      <xdr:rowOff>82550</xdr:rowOff>
    </xdr:from>
    <xdr:ext cx="557419" cy="176972"/>
    <xdr:sp macro="" textlink="">
      <xdr:nvSpPr>
        <xdr:cNvPr id="10394" name="Text Box 154">
          <a:extLst>
            <a:ext uri="{FF2B5EF4-FFF2-40B4-BE49-F238E27FC236}">
              <a16:creationId xmlns:a16="http://schemas.microsoft.com/office/drawing/2014/main" id="{1249D69A-B5EF-4165-8156-5AF012B5EA00}"/>
            </a:ext>
          </a:extLst>
        </xdr:cNvPr>
        <xdr:cNvSpPr txBox="1">
          <a:spLocks noChangeArrowheads="1"/>
        </xdr:cNvSpPr>
      </xdr:nvSpPr>
      <xdr:spPr bwMode="auto">
        <a:xfrm>
          <a:off x="20577175" y="3657600"/>
          <a:ext cx="517276"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Figure</a:t>
          </a:r>
          <a:r>
            <a:rPr lang="en-US" sz="1000" b="0" i="0" strike="noStrike">
              <a:solidFill>
                <a:srgbClr val="000000"/>
              </a:solidFill>
              <a:latin typeface="Arial"/>
              <a:cs typeface="Arial"/>
            </a:rPr>
            <a:t> </a:t>
          </a:r>
          <a:r>
            <a:rPr lang="en-US" sz="1000" b="1" i="0" strike="noStrike">
              <a:solidFill>
                <a:srgbClr val="000000"/>
              </a:solidFill>
              <a:latin typeface="Arial"/>
              <a:cs typeface="Arial"/>
            </a:rPr>
            <a:t>6</a:t>
          </a:r>
        </a:p>
      </xdr:txBody>
    </xdr:sp>
    <xdr:clientData/>
  </xdr:oneCellAnchor>
  <xdr:oneCellAnchor>
    <xdr:from>
      <xdr:col>29</xdr:col>
      <xdr:colOff>511175</xdr:colOff>
      <xdr:row>5</xdr:row>
      <xdr:rowOff>111125</xdr:rowOff>
    </xdr:from>
    <xdr:ext cx="1047009" cy="330860"/>
    <xdr:sp macro="" textlink="">
      <xdr:nvSpPr>
        <xdr:cNvPr id="10395" name="Text Box 155">
          <a:extLst>
            <a:ext uri="{FF2B5EF4-FFF2-40B4-BE49-F238E27FC236}">
              <a16:creationId xmlns:a16="http://schemas.microsoft.com/office/drawing/2014/main" id="{C73C6AC2-3183-4C34-BAC7-5B7A29E23F23}"/>
            </a:ext>
          </a:extLst>
        </xdr:cNvPr>
        <xdr:cNvSpPr txBox="1">
          <a:spLocks noChangeArrowheads="1"/>
        </xdr:cNvSpPr>
      </xdr:nvSpPr>
      <xdr:spPr bwMode="auto">
        <a:xfrm>
          <a:off x="21180425" y="942975"/>
          <a:ext cx="930675" cy="3308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Quadrifilar Helix</a:t>
          </a:r>
        </a:p>
        <a:p>
          <a:pPr algn="l" rtl="1">
            <a:defRPr sz="1000"/>
          </a:pPr>
          <a:r>
            <a:rPr lang="en-US" sz="1000" b="0" i="0" strike="noStrike">
              <a:solidFill>
                <a:srgbClr val="000000"/>
              </a:solidFill>
              <a:latin typeface="Arial"/>
              <a:cs typeface="Arial"/>
            </a:rPr>
            <a:t>(Wound RHCP)</a:t>
          </a:r>
        </a:p>
      </xdr:txBody>
    </xdr:sp>
    <xdr:clientData/>
  </xdr:oneCellAnchor>
  <xdr:twoCellAnchor>
    <xdr:from>
      <xdr:col>29</xdr:col>
      <xdr:colOff>114300</xdr:colOff>
      <xdr:row>7</xdr:row>
      <xdr:rowOff>12700</xdr:rowOff>
    </xdr:from>
    <xdr:to>
      <xdr:col>29</xdr:col>
      <xdr:colOff>355600</xdr:colOff>
      <xdr:row>7</xdr:row>
      <xdr:rowOff>12700</xdr:rowOff>
    </xdr:to>
    <xdr:sp macro="" textlink="">
      <xdr:nvSpPr>
        <xdr:cNvPr id="553707" name="Line 156">
          <a:extLst>
            <a:ext uri="{FF2B5EF4-FFF2-40B4-BE49-F238E27FC236}">
              <a16:creationId xmlns:a16="http://schemas.microsoft.com/office/drawing/2014/main" id="{09128794-BCD6-4592-B45C-F06F098B9E85}"/>
            </a:ext>
          </a:extLst>
        </xdr:cNvPr>
        <xdr:cNvSpPr>
          <a:spLocks noChangeShapeType="1"/>
        </xdr:cNvSpPr>
      </xdr:nvSpPr>
      <xdr:spPr bwMode="auto">
        <a:xfrm>
          <a:off x="18986500" y="1200150"/>
          <a:ext cx="241300" cy="0"/>
        </a:xfrm>
        <a:prstGeom prst="line">
          <a:avLst/>
        </a:prstGeom>
        <a:noFill/>
        <a:ln w="127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29</xdr:col>
      <xdr:colOff>101600</xdr:colOff>
      <xdr:row>8</xdr:row>
      <xdr:rowOff>120650</xdr:rowOff>
    </xdr:from>
    <xdr:to>
      <xdr:col>29</xdr:col>
      <xdr:colOff>355600</xdr:colOff>
      <xdr:row>8</xdr:row>
      <xdr:rowOff>120650</xdr:rowOff>
    </xdr:to>
    <xdr:sp macro="" textlink="">
      <xdr:nvSpPr>
        <xdr:cNvPr id="553708" name="Line 157">
          <a:extLst>
            <a:ext uri="{FF2B5EF4-FFF2-40B4-BE49-F238E27FC236}">
              <a16:creationId xmlns:a16="http://schemas.microsoft.com/office/drawing/2014/main" id="{36F547FF-109F-48E5-928D-D857B305959D}"/>
            </a:ext>
          </a:extLst>
        </xdr:cNvPr>
        <xdr:cNvSpPr>
          <a:spLocks noChangeShapeType="1"/>
        </xdr:cNvSpPr>
      </xdr:nvSpPr>
      <xdr:spPr bwMode="auto">
        <a:xfrm>
          <a:off x="18973800" y="1466850"/>
          <a:ext cx="254000" cy="0"/>
        </a:xfrm>
        <a:prstGeom prst="line">
          <a:avLst/>
        </a:prstGeom>
        <a:noFill/>
        <a:ln w="127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29</xdr:col>
      <xdr:colOff>101600</xdr:colOff>
      <xdr:row>7</xdr:row>
      <xdr:rowOff>12700</xdr:rowOff>
    </xdr:from>
    <xdr:to>
      <xdr:col>29</xdr:col>
      <xdr:colOff>374650</xdr:colOff>
      <xdr:row>8</xdr:row>
      <xdr:rowOff>120650</xdr:rowOff>
    </xdr:to>
    <xdr:sp macro="" textlink="">
      <xdr:nvSpPr>
        <xdr:cNvPr id="553709" name="Freeform 158">
          <a:extLst>
            <a:ext uri="{FF2B5EF4-FFF2-40B4-BE49-F238E27FC236}">
              <a16:creationId xmlns:a16="http://schemas.microsoft.com/office/drawing/2014/main" id="{7B103C43-8205-4D22-AFE6-3ADF824E387D}"/>
            </a:ext>
          </a:extLst>
        </xdr:cNvPr>
        <xdr:cNvSpPr>
          <a:spLocks/>
        </xdr:cNvSpPr>
      </xdr:nvSpPr>
      <xdr:spPr bwMode="auto">
        <a:xfrm>
          <a:off x="18973800" y="1200150"/>
          <a:ext cx="273050" cy="266700"/>
        </a:xfrm>
        <a:custGeom>
          <a:avLst/>
          <a:gdLst>
            <a:gd name="T0" fmla="*/ 2147483647 w 28"/>
            <a:gd name="T1" fmla="*/ 0 h 28"/>
            <a:gd name="T2" fmla="*/ 2147483647 w 28"/>
            <a:gd name="T3" fmla="*/ 2147483647 h 28"/>
            <a:gd name="T4" fmla="*/ 2147483647 w 28"/>
            <a:gd name="T5" fmla="*/ 2147483647 h 28"/>
            <a:gd name="T6" fmla="*/ 2147483647 w 28"/>
            <a:gd name="T7" fmla="*/ 2147483647 h 28"/>
            <a:gd name="T8" fmla="*/ 2147483647 w 28"/>
            <a:gd name="T9" fmla="*/ 2147483647 h 28"/>
            <a:gd name="T10" fmla="*/ 0 w 28"/>
            <a:gd name="T11" fmla="*/ 2147483647 h 28"/>
            <a:gd name="T12" fmla="*/ 0 60000 65536"/>
            <a:gd name="T13" fmla="*/ 0 60000 65536"/>
            <a:gd name="T14" fmla="*/ 0 60000 65536"/>
            <a:gd name="T15" fmla="*/ 0 60000 65536"/>
            <a:gd name="T16" fmla="*/ 0 60000 65536"/>
            <a:gd name="T17" fmla="*/ 0 60000 65536"/>
            <a:gd name="T18" fmla="*/ 0 w 28"/>
            <a:gd name="T19" fmla="*/ 0 h 28"/>
            <a:gd name="T20" fmla="*/ 28 w 28"/>
            <a:gd name="T21" fmla="*/ 28 h 28"/>
          </a:gdLst>
          <a:ahLst/>
          <a:cxnLst>
            <a:cxn ang="T12">
              <a:pos x="T0" y="T1"/>
            </a:cxn>
            <a:cxn ang="T13">
              <a:pos x="T2" y="T3"/>
            </a:cxn>
            <a:cxn ang="T14">
              <a:pos x="T4" y="T5"/>
            </a:cxn>
            <a:cxn ang="T15">
              <a:pos x="T6" y="T7"/>
            </a:cxn>
            <a:cxn ang="T16">
              <a:pos x="T8" y="T9"/>
            </a:cxn>
            <a:cxn ang="T17">
              <a:pos x="T10" y="T11"/>
            </a:cxn>
          </a:cxnLst>
          <a:rect l="T18" t="T19" r="T20" b="T21"/>
          <a:pathLst>
            <a:path w="28" h="28">
              <a:moveTo>
                <a:pt x="26" y="0"/>
              </a:moveTo>
              <a:cubicBezTo>
                <a:pt x="27" y="2"/>
                <a:pt x="28" y="5"/>
                <a:pt x="27" y="7"/>
              </a:cubicBezTo>
              <a:cubicBezTo>
                <a:pt x="26" y="9"/>
                <a:pt x="24" y="11"/>
                <a:pt x="22" y="12"/>
              </a:cubicBezTo>
              <a:cubicBezTo>
                <a:pt x="20" y="13"/>
                <a:pt x="17" y="14"/>
                <a:pt x="14" y="15"/>
              </a:cubicBezTo>
              <a:cubicBezTo>
                <a:pt x="11" y="16"/>
                <a:pt x="4" y="18"/>
                <a:pt x="2" y="20"/>
              </a:cubicBezTo>
              <a:cubicBezTo>
                <a:pt x="0" y="22"/>
                <a:pt x="0" y="25"/>
                <a:pt x="0" y="28"/>
              </a:cubicBezTo>
            </a:path>
          </a:pathLst>
        </a:cu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29</xdr:col>
      <xdr:colOff>101600</xdr:colOff>
      <xdr:row>7</xdr:row>
      <xdr:rowOff>12700</xdr:rowOff>
    </xdr:from>
    <xdr:to>
      <xdr:col>29</xdr:col>
      <xdr:colOff>374650</xdr:colOff>
      <xdr:row>8</xdr:row>
      <xdr:rowOff>120650</xdr:rowOff>
    </xdr:to>
    <xdr:sp macro="" textlink="">
      <xdr:nvSpPr>
        <xdr:cNvPr id="553710" name="Freeform 159">
          <a:extLst>
            <a:ext uri="{FF2B5EF4-FFF2-40B4-BE49-F238E27FC236}">
              <a16:creationId xmlns:a16="http://schemas.microsoft.com/office/drawing/2014/main" id="{218F6C62-D8D0-4D61-BDB8-23C1522970A9}"/>
            </a:ext>
          </a:extLst>
        </xdr:cNvPr>
        <xdr:cNvSpPr>
          <a:spLocks/>
        </xdr:cNvSpPr>
      </xdr:nvSpPr>
      <xdr:spPr bwMode="auto">
        <a:xfrm flipH="1">
          <a:off x="18973800" y="1200150"/>
          <a:ext cx="273050" cy="266700"/>
        </a:xfrm>
        <a:custGeom>
          <a:avLst/>
          <a:gdLst>
            <a:gd name="T0" fmla="*/ 2147483647 w 28"/>
            <a:gd name="T1" fmla="*/ 0 h 28"/>
            <a:gd name="T2" fmla="*/ 2147483647 w 28"/>
            <a:gd name="T3" fmla="*/ 2147483647 h 28"/>
            <a:gd name="T4" fmla="*/ 2147483647 w 28"/>
            <a:gd name="T5" fmla="*/ 2147483647 h 28"/>
            <a:gd name="T6" fmla="*/ 2147483647 w 28"/>
            <a:gd name="T7" fmla="*/ 2147483647 h 28"/>
            <a:gd name="T8" fmla="*/ 2147483647 w 28"/>
            <a:gd name="T9" fmla="*/ 2147483647 h 28"/>
            <a:gd name="T10" fmla="*/ 0 w 28"/>
            <a:gd name="T11" fmla="*/ 2147483647 h 28"/>
            <a:gd name="T12" fmla="*/ 0 60000 65536"/>
            <a:gd name="T13" fmla="*/ 0 60000 65536"/>
            <a:gd name="T14" fmla="*/ 0 60000 65536"/>
            <a:gd name="T15" fmla="*/ 0 60000 65536"/>
            <a:gd name="T16" fmla="*/ 0 60000 65536"/>
            <a:gd name="T17" fmla="*/ 0 60000 65536"/>
            <a:gd name="T18" fmla="*/ 0 w 28"/>
            <a:gd name="T19" fmla="*/ 0 h 28"/>
            <a:gd name="T20" fmla="*/ 28 w 28"/>
            <a:gd name="T21" fmla="*/ 28 h 28"/>
          </a:gdLst>
          <a:ahLst/>
          <a:cxnLst>
            <a:cxn ang="T12">
              <a:pos x="T0" y="T1"/>
            </a:cxn>
            <a:cxn ang="T13">
              <a:pos x="T2" y="T3"/>
            </a:cxn>
            <a:cxn ang="T14">
              <a:pos x="T4" y="T5"/>
            </a:cxn>
            <a:cxn ang="T15">
              <a:pos x="T6" y="T7"/>
            </a:cxn>
            <a:cxn ang="T16">
              <a:pos x="T8" y="T9"/>
            </a:cxn>
            <a:cxn ang="T17">
              <a:pos x="T10" y="T11"/>
            </a:cxn>
          </a:cxnLst>
          <a:rect l="T18" t="T19" r="T20" b="T21"/>
          <a:pathLst>
            <a:path w="28" h="28">
              <a:moveTo>
                <a:pt x="26" y="0"/>
              </a:moveTo>
              <a:cubicBezTo>
                <a:pt x="27" y="2"/>
                <a:pt x="28" y="5"/>
                <a:pt x="27" y="7"/>
              </a:cubicBezTo>
              <a:cubicBezTo>
                <a:pt x="26" y="9"/>
                <a:pt x="24" y="11"/>
                <a:pt x="22" y="12"/>
              </a:cubicBezTo>
              <a:cubicBezTo>
                <a:pt x="20" y="13"/>
                <a:pt x="17" y="14"/>
                <a:pt x="14" y="15"/>
              </a:cubicBezTo>
              <a:cubicBezTo>
                <a:pt x="11" y="16"/>
                <a:pt x="4" y="18"/>
                <a:pt x="2" y="20"/>
              </a:cubicBezTo>
              <a:cubicBezTo>
                <a:pt x="0" y="22"/>
                <a:pt x="0" y="25"/>
                <a:pt x="0" y="28"/>
              </a:cubicBezTo>
            </a:path>
          </a:pathLst>
        </a:cu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34</xdr:col>
      <xdr:colOff>533400</xdr:colOff>
      <xdr:row>10</xdr:row>
      <xdr:rowOff>38100</xdr:rowOff>
    </xdr:from>
    <xdr:to>
      <xdr:col>36</xdr:col>
      <xdr:colOff>323850</xdr:colOff>
      <xdr:row>15</xdr:row>
      <xdr:rowOff>50800</xdr:rowOff>
    </xdr:to>
    <xdr:sp macro="" textlink="">
      <xdr:nvSpPr>
        <xdr:cNvPr id="553711" name="Rectangle 160" descr="Large grid">
          <a:extLst>
            <a:ext uri="{FF2B5EF4-FFF2-40B4-BE49-F238E27FC236}">
              <a16:creationId xmlns:a16="http://schemas.microsoft.com/office/drawing/2014/main" id="{DD9070CB-D659-4DD6-8319-5CC02176611C}"/>
            </a:ext>
          </a:extLst>
        </xdr:cNvPr>
        <xdr:cNvSpPr>
          <a:spLocks noChangeArrowheads="1"/>
        </xdr:cNvSpPr>
      </xdr:nvSpPr>
      <xdr:spPr bwMode="auto">
        <a:xfrm>
          <a:off x="22485350" y="1701800"/>
          <a:ext cx="1022350" cy="806450"/>
        </a:xfrm>
        <a:prstGeom prst="rect">
          <a:avLst/>
        </a:prstGeom>
        <a:pattFill prst="lgGrid">
          <a:fgClr>
            <a:srgbClr val="000080"/>
          </a:fgClr>
          <a:bgClr>
            <a:srgbClr val="0000FF"/>
          </a:bgClr>
        </a:pattFill>
        <a:ln w="9525">
          <a:solidFill>
            <a:srgbClr val="000000"/>
          </a:solidFill>
          <a:miter lim="800000"/>
          <a:headEnd/>
          <a:tailEnd/>
        </a:ln>
      </xdr:spPr>
    </xdr:sp>
    <xdr:clientData/>
  </xdr:twoCellAnchor>
  <xdr:twoCellAnchor>
    <xdr:from>
      <xdr:col>34</xdr:col>
      <xdr:colOff>533400</xdr:colOff>
      <xdr:row>15</xdr:row>
      <xdr:rowOff>50800</xdr:rowOff>
    </xdr:from>
    <xdr:to>
      <xdr:col>36</xdr:col>
      <xdr:colOff>323850</xdr:colOff>
      <xdr:row>15</xdr:row>
      <xdr:rowOff>133350</xdr:rowOff>
    </xdr:to>
    <xdr:sp macro="" textlink="">
      <xdr:nvSpPr>
        <xdr:cNvPr id="553712" name="Rectangle 161">
          <a:extLst>
            <a:ext uri="{FF2B5EF4-FFF2-40B4-BE49-F238E27FC236}">
              <a16:creationId xmlns:a16="http://schemas.microsoft.com/office/drawing/2014/main" id="{E3F7DBDB-CB0F-4739-98FB-87A4757FBCB3}"/>
            </a:ext>
          </a:extLst>
        </xdr:cNvPr>
        <xdr:cNvSpPr>
          <a:spLocks noChangeArrowheads="1"/>
        </xdr:cNvSpPr>
      </xdr:nvSpPr>
      <xdr:spPr bwMode="auto">
        <a:xfrm>
          <a:off x="22485350" y="2508250"/>
          <a:ext cx="1022350" cy="8255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34</xdr:col>
      <xdr:colOff>533400</xdr:colOff>
      <xdr:row>9</xdr:row>
      <xdr:rowOff>107950</xdr:rowOff>
    </xdr:from>
    <xdr:to>
      <xdr:col>36</xdr:col>
      <xdr:colOff>323850</xdr:colOff>
      <xdr:row>10</xdr:row>
      <xdr:rowOff>25400</xdr:rowOff>
    </xdr:to>
    <xdr:sp macro="" textlink="">
      <xdr:nvSpPr>
        <xdr:cNvPr id="553713" name="Rectangle 162">
          <a:extLst>
            <a:ext uri="{FF2B5EF4-FFF2-40B4-BE49-F238E27FC236}">
              <a16:creationId xmlns:a16="http://schemas.microsoft.com/office/drawing/2014/main" id="{466678C4-0998-4700-8F8F-B8B8F0B56563}"/>
            </a:ext>
          </a:extLst>
        </xdr:cNvPr>
        <xdr:cNvSpPr>
          <a:spLocks noChangeArrowheads="1"/>
        </xdr:cNvSpPr>
      </xdr:nvSpPr>
      <xdr:spPr bwMode="auto">
        <a:xfrm>
          <a:off x="22485350" y="1612900"/>
          <a:ext cx="1022350" cy="7620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35</xdr:col>
      <xdr:colOff>431800</xdr:colOff>
      <xdr:row>2</xdr:row>
      <xdr:rowOff>82550</xdr:rowOff>
    </xdr:from>
    <xdr:to>
      <xdr:col>35</xdr:col>
      <xdr:colOff>431800</xdr:colOff>
      <xdr:row>9</xdr:row>
      <xdr:rowOff>50800</xdr:rowOff>
    </xdr:to>
    <xdr:sp macro="" textlink="">
      <xdr:nvSpPr>
        <xdr:cNvPr id="553714" name="Line 164">
          <a:extLst>
            <a:ext uri="{FF2B5EF4-FFF2-40B4-BE49-F238E27FC236}">
              <a16:creationId xmlns:a16="http://schemas.microsoft.com/office/drawing/2014/main" id="{C8BDE01D-85B2-45EA-8F3B-C92994362A22}"/>
            </a:ext>
          </a:extLst>
        </xdr:cNvPr>
        <xdr:cNvSpPr>
          <a:spLocks noChangeShapeType="1"/>
        </xdr:cNvSpPr>
      </xdr:nvSpPr>
      <xdr:spPr bwMode="auto">
        <a:xfrm flipH="1" flipV="1">
          <a:off x="22999700" y="476250"/>
          <a:ext cx="0" cy="107950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35</xdr:col>
      <xdr:colOff>419100</xdr:colOff>
      <xdr:row>15</xdr:row>
      <xdr:rowOff>120650</xdr:rowOff>
    </xdr:from>
    <xdr:to>
      <xdr:col>35</xdr:col>
      <xdr:colOff>419100</xdr:colOff>
      <xdr:row>22</xdr:row>
      <xdr:rowOff>82550</xdr:rowOff>
    </xdr:to>
    <xdr:sp macro="" textlink="">
      <xdr:nvSpPr>
        <xdr:cNvPr id="553715" name="Line 165">
          <a:extLst>
            <a:ext uri="{FF2B5EF4-FFF2-40B4-BE49-F238E27FC236}">
              <a16:creationId xmlns:a16="http://schemas.microsoft.com/office/drawing/2014/main" id="{800FC76F-625D-446D-BB0A-9D59EBC44D70}"/>
            </a:ext>
          </a:extLst>
        </xdr:cNvPr>
        <xdr:cNvSpPr>
          <a:spLocks noChangeShapeType="1"/>
        </xdr:cNvSpPr>
      </xdr:nvSpPr>
      <xdr:spPr bwMode="auto">
        <a:xfrm flipV="1">
          <a:off x="22987000" y="2578100"/>
          <a:ext cx="0" cy="10731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36</xdr:col>
      <xdr:colOff>361950</xdr:colOff>
      <xdr:row>12</xdr:row>
      <xdr:rowOff>107950</xdr:rowOff>
    </xdr:from>
    <xdr:to>
      <xdr:col>37</xdr:col>
      <xdr:colOff>419100</xdr:colOff>
      <xdr:row>12</xdr:row>
      <xdr:rowOff>107950</xdr:rowOff>
    </xdr:to>
    <xdr:sp macro="" textlink="">
      <xdr:nvSpPr>
        <xdr:cNvPr id="553716" name="Line 166">
          <a:extLst>
            <a:ext uri="{FF2B5EF4-FFF2-40B4-BE49-F238E27FC236}">
              <a16:creationId xmlns:a16="http://schemas.microsoft.com/office/drawing/2014/main" id="{5A7541CD-A9E0-439E-A11E-D94FB03F6092}"/>
            </a:ext>
          </a:extLst>
        </xdr:cNvPr>
        <xdr:cNvSpPr>
          <a:spLocks noChangeShapeType="1"/>
        </xdr:cNvSpPr>
      </xdr:nvSpPr>
      <xdr:spPr bwMode="auto">
        <a:xfrm>
          <a:off x="23545800" y="2089150"/>
          <a:ext cx="67310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33</xdr:col>
      <xdr:colOff>450850</xdr:colOff>
      <xdr:row>12</xdr:row>
      <xdr:rowOff>107950</xdr:rowOff>
    </xdr:from>
    <xdr:to>
      <xdr:col>34</xdr:col>
      <xdr:colOff>514350</xdr:colOff>
      <xdr:row>12</xdr:row>
      <xdr:rowOff>107950</xdr:rowOff>
    </xdr:to>
    <xdr:sp macro="" textlink="">
      <xdr:nvSpPr>
        <xdr:cNvPr id="553717" name="Line 167">
          <a:extLst>
            <a:ext uri="{FF2B5EF4-FFF2-40B4-BE49-F238E27FC236}">
              <a16:creationId xmlns:a16="http://schemas.microsoft.com/office/drawing/2014/main" id="{65C21D03-6C83-442B-894E-35243D51714A}"/>
            </a:ext>
          </a:extLst>
        </xdr:cNvPr>
        <xdr:cNvSpPr>
          <a:spLocks noChangeShapeType="1"/>
        </xdr:cNvSpPr>
      </xdr:nvSpPr>
      <xdr:spPr bwMode="auto">
        <a:xfrm>
          <a:off x="21786850" y="2089150"/>
          <a:ext cx="67945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editAs="oneCell">
    <xdr:from>
      <xdr:col>35</xdr:col>
      <xdr:colOff>584200</xdr:colOff>
      <xdr:row>2</xdr:row>
      <xdr:rowOff>25400</xdr:rowOff>
    </xdr:from>
    <xdr:to>
      <xdr:col>36</xdr:col>
      <xdr:colOff>31750</xdr:colOff>
      <xdr:row>3</xdr:row>
      <xdr:rowOff>63500</xdr:rowOff>
    </xdr:to>
    <xdr:sp macro="" textlink="">
      <xdr:nvSpPr>
        <xdr:cNvPr id="553718" name="Text Box 168">
          <a:extLst>
            <a:ext uri="{FF2B5EF4-FFF2-40B4-BE49-F238E27FC236}">
              <a16:creationId xmlns:a16="http://schemas.microsoft.com/office/drawing/2014/main" id="{4DA3A963-6FE8-4619-B8D9-4BD268EB0B36}"/>
            </a:ext>
          </a:extLst>
        </xdr:cNvPr>
        <xdr:cNvSpPr txBox="1">
          <a:spLocks noChangeArrowheads="1"/>
        </xdr:cNvSpPr>
      </xdr:nvSpPr>
      <xdr:spPr bwMode="auto">
        <a:xfrm>
          <a:off x="23152100" y="419100"/>
          <a:ext cx="63500" cy="196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35</xdr:col>
      <xdr:colOff>339725</xdr:colOff>
      <xdr:row>1</xdr:row>
      <xdr:rowOff>28575</xdr:rowOff>
    </xdr:from>
    <xdr:ext cx="171714" cy="170560"/>
    <xdr:sp macro="" textlink="">
      <xdr:nvSpPr>
        <xdr:cNvPr id="10409" name="Text Box 169">
          <a:extLst>
            <a:ext uri="{FF2B5EF4-FFF2-40B4-BE49-F238E27FC236}">
              <a16:creationId xmlns:a16="http://schemas.microsoft.com/office/drawing/2014/main" id="{3EECCC41-29FA-47EF-B98E-E2D437DFA468}"/>
            </a:ext>
          </a:extLst>
        </xdr:cNvPr>
        <xdr:cNvSpPr txBox="1">
          <a:spLocks noChangeArrowheads="1"/>
        </xdr:cNvSpPr>
      </xdr:nvSpPr>
      <xdr:spPr bwMode="auto">
        <a:xfrm>
          <a:off x="22975358" y="265642"/>
          <a:ext cx="171714"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35</xdr:col>
      <xdr:colOff>339725</xdr:colOff>
      <xdr:row>22</xdr:row>
      <xdr:rowOff>117475</xdr:rowOff>
    </xdr:from>
    <xdr:ext cx="139506" cy="176972"/>
    <xdr:sp macro="" textlink="">
      <xdr:nvSpPr>
        <xdr:cNvPr id="10410" name="Text Box 170">
          <a:extLst>
            <a:ext uri="{FF2B5EF4-FFF2-40B4-BE49-F238E27FC236}">
              <a16:creationId xmlns:a16="http://schemas.microsoft.com/office/drawing/2014/main" id="{9DD94DB4-AE3F-4D01-8762-519B8F83BDA3}"/>
            </a:ext>
          </a:extLst>
        </xdr:cNvPr>
        <xdr:cNvSpPr txBox="1">
          <a:spLocks noChangeArrowheads="1"/>
        </xdr:cNvSpPr>
      </xdr:nvSpPr>
      <xdr:spPr bwMode="auto">
        <a:xfrm>
          <a:off x="25178808" y="3540125"/>
          <a:ext cx="139506"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33</xdr:col>
      <xdr:colOff>196850</xdr:colOff>
      <xdr:row>12</xdr:row>
      <xdr:rowOff>28575</xdr:rowOff>
    </xdr:from>
    <xdr:ext cx="178895" cy="170560"/>
    <xdr:sp macro="" textlink="">
      <xdr:nvSpPr>
        <xdr:cNvPr id="10411" name="Text Box 171">
          <a:extLst>
            <a:ext uri="{FF2B5EF4-FFF2-40B4-BE49-F238E27FC236}">
              <a16:creationId xmlns:a16="http://schemas.microsoft.com/office/drawing/2014/main" id="{12699B1D-135C-4844-9C44-D486A2D070B0}"/>
            </a:ext>
          </a:extLst>
        </xdr:cNvPr>
        <xdr:cNvSpPr txBox="1">
          <a:spLocks noChangeArrowheads="1"/>
        </xdr:cNvSpPr>
      </xdr:nvSpPr>
      <xdr:spPr bwMode="auto">
        <a:xfrm>
          <a:off x="21596350" y="2035175"/>
          <a:ext cx="17889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37</xdr:col>
      <xdr:colOff>428625</xdr:colOff>
      <xdr:row>12</xdr:row>
      <xdr:rowOff>28575</xdr:rowOff>
    </xdr:from>
    <xdr:ext cx="153376" cy="176972"/>
    <xdr:sp macro="" textlink="">
      <xdr:nvSpPr>
        <xdr:cNvPr id="10412" name="Text Box 172">
          <a:extLst>
            <a:ext uri="{FF2B5EF4-FFF2-40B4-BE49-F238E27FC236}">
              <a16:creationId xmlns:a16="http://schemas.microsoft.com/office/drawing/2014/main" id="{1B7244E7-76A0-4D19-A5B2-571C04714EDD}"/>
            </a:ext>
          </a:extLst>
        </xdr:cNvPr>
        <xdr:cNvSpPr txBox="1">
          <a:spLocks noChangeArrowheads="1"/>
        </xdr:cNvSpPr>
      </xdr:nvSpPr>
      <xdr:spPr bwMode="auto">
        <a:xfrm>
          <a:off x="26628725" y="1933575"/>
          <a:ext cx="146707"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35</xdr:col>
      <xdr:colOff>307975</xdr:colOff>
      <xdr:row>12</xdr:row>
      <xdr:rowOff>9525</xdr:rowOff>
    </xdr:from>
    <xdr:ext cx="185179" cy="176972"/>
    <xdr:sp macro="" textlink="">
      <xdr:nvSpPr>
        <xdr:cNvPr id="10413" name="Text Box 173">
          <a:extLst>
            <a:ext uri="{FF2B5EF4-FFF2-40B4-BE49-F238E27FC236}">
              <a16:creationId xmlns:a16="http://schemas.microsoft.com/office/drawing/2014/main" id="{CC6BEFE4-38C1-4756-941F-53C292D18DD9}"/>
            </a:ext>
          </a:extLst>
        </xdr:cNvPr>
        <xdr:cNvSpPr txBox="1">
          <a:spLocks noChangeArrowheads="1"/>
        </xdr:cNvSpPr>
      </xdr:nvSpPr>
      <xdr:spPr bwMode="auto">
        <a:xfrm>
          <a:off x="25147058" y="1914525"/>
          <a:ext cx="18517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+Y</a:t>
          </a:r>
        </a:p>
      </xdr:txBody>
    </xdr:sp>
    <xdr:clientData/>
  </xdr:oneCellAnchor>
  <xdr:twoCellAnchor>
    <xdr:from>
      <xdr:col>33</xdr:col>
      <xdr:colOff>546100</xdr:colOff>
      <xdr:row>1</xdr:row>
      <xdr:rowOff>127000</xdr:rowOff>
    </xdr:from>
    <xdr:to>
      <xdr:col>35</xdr:col>
      <xdr:colOff>406400</xdr:colOff>
      <xdr:row>9</xdr:row>
      <xdr:rowOff>63500</xdr:rowOff>
    </xdr:to>
    <xdr:sp macro="" textlink="">
      <xdr:nvSpPr>
        <xdr:cNvPr id="553724" name="Line 174">
          <a:extLst>
            <a:ext uri="{FF2B5EF4-FFF2-40B4-BE49-F238E27FC236}">
              <a16:creationId xmlns:a16="http://schemas.microsoft.com/office/drawing/2014/main" id="{51CCC26E-96DD-469C-ABF1-34CD5BF799D2}"/>
            </a:ext>
          </a:extLst>
        </xdr:cNvPr>
        <xdr:cNvSpPr>
          <a:spLocks noChangeShapeType="1"/>
        </xdr:cNvSpPr>
      </xdr:nvSpPr>
      <xdr:spPr bwMode="auto">
        <a:xfrm flipH="1" flipV="1">
          <a:off x="21882100" y="361950"/>
          <a:ext cx="1092200" cy="1206500"/>
        </a:xfrm>
        <a:prstGeom prst="line">
          <a:avLst/>
        </a:prstGeom>
        <a:noFill/>
        <a:ln w="9525">
          <a:solidFill>
            <a:srgbClr val="FF0000"/>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34</xdr:col>
      <xdr:colOff>536575</xdr:colOff>
      <xdr:row>3</xdr:row>
      <xdr:rowOff>38100</xdr:rowOff>
    </xdr:from>
    <xdr:ext cx="296230" cy="176972"/>
    <xdr:sp macro="" textlink="">
      <xdr:nvSpPr>
        <xdr:cNvPr id="10415" name="Text Box 175">
          <a:extLst>
            <a:ext uri="{FF2B5EF4-FFF2-40B4-BE49-F238E27FC236}">
              <a16:creationId xmlns:a16="http://schemas.microsoft.com/office/drawing/2014/main" id="{D1CFDD85-DA51-4182-AFE9-163DA020E586}"/>
            </a:ext>
          </a:extLst>
        </xdr:cNvPr>
        <xdr:cNvSpPr txBox="1">
          <a:spLocks noChangeArrowheads="1"/>
        </xdr:cNvSpPr>
      </xdr:nvSpPr>
      <xdr:spPr bwMode="auto">
        <a:xfrm>
          <a:off x="24577675" y="571500"/>
          <a:ext cx="23040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2,3</a:t>
          </a:r>
        </a:p>
      </xdr:txBody>
    </xdr:sp>
    <xdr:clientData/>
  </xdr:oneCellAnchor>
  <xdr:twoCellAnchor>
    <xdr:from>
      <xdr:col>34</xdr:col>
      <xdr:colOff>381000</xdr:colOff>
      <xdr:row>4</xdr:row>
      <xdr:rowOff>25400</xdr:rowOff>
    </xdr:from>
    <xdr:to>
      <xdr:col>34</xdr:col>
      <xdr:colOff>495300</xdr:colOff>
      <xdr:row>4</xdr:row>
      <xdr:rowOff>120650</xdr:rowOff>
    </xdr:to>
    <xdr:sp macro="" textlink="">
      <xdr:nvSpPr>
        <xdr:cNvPr id="553726" name="Line 176">
          <a:extLst>
            <a:ext uri="{FF2B5EF4-FFF2-40B4-BE49-F238E27FC236}">
              <a16:creationId xmlns:a16="http://schemas.microsoft.com/office/drawing/2014/main" id="{47AD5E24-BD20-41B4-844C-FD60AAD56897}"/>
            </a:ext>
          </a:extLst>
        </xdr:cNvPr>
        <xdr:cNvSpPr>
          <a:spLocks noChangeShapeType="1"/>
        </xdr:cNvSpPr>
      </xdr:nvSpPr>
      <xdr:spPr bwMode="auto">
        <a:xfrm flipH="1">
          <a:off x="22332950" y="736600"/>
          <a:ext cx="114300" cy="952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35</xdr:col>
      <xdr:colOff>196850</xdr:colOff>
      <xdr:row>3</xdr:row>
      <xdr:rowOff>63500</xdr:rowOff>
    </xdr:from>
    <xdr:to>
      <xdr:col>35</xdr:col>
      <xdr:colOff>419100</xdr:colOff>
      <xdr:row>3</xdr:row>
      <xdr:rowOff>88900</xdr:rowOff>
    </xdr:to>
    <xdr:sp macro="" textlink="">
      <xdr:nvSpPr>
        <xdr:cNvPr id="553727" name="Line 177">
          <a:extLst>
            <a:ext uri="{FF2B5EF4-FFF2-40B4-BE49-F238E27FC236}">
              <a16:creationId xmlns:a16="http://schemas.microsoft.com/office/drawing/2014/main" id="{A8784B39-1C51-4966-ADA0-A70C81B1264D}"/>
            </a:ext>
          </a:extLst>
        </xdr:cNvPr>
        <xdr:cNvSpPr>
          <a:spLocks noChangeShapeType="1"/>
        </xdr:cNvSpPr>
      </xdr:nvSpPr>
      <xdr:spPr bwMode="auto">
        <a:xfrm flipV="1">
          <a:off x="22764750" y="615950"/>
          <a:ext cx="222250" cy="25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35</xdr:col>
      <xdr:colOff>142875</xdr:colOff>
      <xdr:row>23</xdr:row>
      <xdr:rowOff>111125</xdr:rowOff>
    </xdr:from>
    <xdr:ext cx="566878" cy="176972"/>
    <xdr:sp macro="" textlink="">
      <xdr:nvSpPr>
        <xdr:cNvPr id="10418" name="Text Box 178">
          <a:extLst>
            <a:ext uri="{FF2B5EF4-FFF2-40B4-BE49-F238E27FC236}">
              <a16:creationId xmlns:a16="http://schemas.microsoft.com/office/drawing/2014/main" id="{FAC9D618-AF6F-4BBB-8FAB-4C5F2EBF7C9B}"/>
            </a:ext>
          </a:extLst>
        </xdr:cNvPr>
        <xdr:cNvSpPr txBox="1">
          <a:spLocks noChangeArrowheads="1"/>
        </xdr:cNvSpPr>
      </xdr:nvSpPr>
      <xdr:spPr bwMode="auto">
        <a:xfrm>
          <a:off x="24962908" y="3686175"/>
          <a:ext cx="517276"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Figure</a:t>
          </a:r>
          <a:r>
            <a:rPr lang="en-US" sz="1000" b="0" i="0" strike="noStrike">
              <a:solidFill>
                <a:srgbClr val="000000"/>
              </a:solidFill>
              <a:latin typeface="Arial"/>
              <a:cs typeface="Arial"/>
            </a:rPr>
            <a:t> </a:t>
          </a:r>
          <a:r>
            <a:rPr lang="en-US" sz="1000" b="1" i="0" strike="noStrike">
              <a:solidFill>
                <a:srgbClr val="000000"/>
              </a:solidFill>
              <a:latin typeface="Arial"/>
              <a:cs typeface="Arial"/>
            </a:rPr>
            <a:t>7</a:t>
          </a:r>
        </a:p>
      </xdr:txBody>
    </xdr:sp>
    <xdr:clientData/>
  </xdr:oneCellAnchor>
  <xdr:oneCellAnchor>
    <xdr:from>
      <xdr:col>36</xdr:col>
      <xdr:colOff>225425</xdr:colOff>
      <xdr:row>5</xdr:row>
      <xdr:rowOff>149225</xdr:rowOff>
    </xdr:from>
    <xdr:ext cx="1365374" cy="170560"/>
    <xdr:sp macro="" textlink="">
      <xdr:nvSpPr>
        <xdr:cNvPr id="10419" name="Text Box 179">
          <a:extLst>
            <a:ext uri="{FF2B5EF4-FFF2-40B4-BE49-F238E27FC236}">
              <a16:creationId xmlns:a16="http://schemas.microsoft.com/office/drawing/2014/main" id="{3E60B37D-1A8B-4221-8FDF-A8B52128555F}"/>
            </a:ext>
          </a:extLst>
        </xdr:cNvPr>
        <xdr:cNvSpPr txBox="1">
          <a:spLocks noChangeArrowheads="1"/>
        </xdr:cNvSpPr>
      </xdr:nvSpPr>
      <xdr:spPr bwMode="auto">
        <a:xfrm>
          <a:off x="23479125" y="1029758"/>
          <a:ext cx="1365374"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Patch (or User Defined)</a:t>
          </a:r>
        </a:p>
      </xdr:txBody>
    </xdr:sp>
    <xdr:clientData/>
  </xdr:oneCellAnchor>
  <xdr:twoCellAnchor>
    <xdr:from>
      <xdr:col>35</xdr:col>
      <xdr:colOff>171450</xdr:colOff>
      <xdr:row>9</xdr:row>
      <xdr:rowOff>95250</xdr:rowOff>
    </xdr:from>
    <xdr:to>
      <xdr:col>36</xdr:col>
      <xdr:colOff>82550</xdr:colOff>
      <xdr:row>9</xdr:row>
      <xdr:rowOff>95250</xdr:rowOff>
    </xdr:to>
    <xdr:sp macro="" textlink="">
      <xdr:nvSpPr>
        <xdr:cNvPr id="553730" name="Line 180">
          <a:extLst>
            <a:ext uri="{FF2B5EF4-FFF2-40B4-BE49-F238E27FC236}">
              <a16:creationId xmlns:a16="http://schemas.microsoft.com/office/drawing/2014/main" id="{B0DC074D-5BAA-4FFC-89DD-27A587595622}"/>
            </a:ext>
          </a:extLst>
        </xdr:cNvPr>
        <xdr:cNvSpPr>
          <a:spLocks noChangeShapeType="1"/>
        </xdr:cNvSpPr>
      </xdr:nvSpPr>
      <xdr:spPr bwMode="auto">
        <a:xfrm flipV="1">
          <a:off x="22739350" y="1600200"/>
          <a:ext cx="527050" cy="0"/>
        </a:xfrm>
        <a:prstGeom prst="line">
          <a:avLst/>
        </a:prstGeom>
        <a:noFill/>
        <a:ln w="38100">
          <a:pattFill prst="pct80">
            <a:fgClr>
              <a:srgbClr val="FF0000"/>
            </a:fgClr>
            <a:bgClr>
              <a:srgbClr val="FFFFFF"/>
            </a:bgClr>
          </a:pattFill>
          <a:round/>
          <a:headEnd/>
          <a:tailEnd/>
        </a:ln>
        <a:extLst>
          <a:ext uri="{909E8E84-426E-40DD-AFC4-6F175D3DCCD1}">
            <a14:hiddenFill xmlns:a14="http://schemas.microsoft.com/office/drawing/2010/main">
              <a:noFill/>
            </a14:hiddenFill>
          </a:ext>
        </a:extLst>
      </xdr:spPr>
    </xdr:sp>
    <xdr:clientData/>
  </xdr:twoCellAnchor>
  <xdr:twoCellAnchor>
    <xdr:from>
      <xdr:col>12</xdr:col>
      <xdr:colOff>114300</xdr:colOff>
      <xdr:row>2</xdr:row>
      <xdr:rowOff>82550</xdr:rowOff>
    </xdr:from>
    <xdr:to>
      <xdr:col>14</xdr:col>
      <xdr:colOff>209550</xdr:colOff>
      <xdr:row>12</xdr:row>
      <xdr:rowOff>82550</xdr:rowOff>
    </xdr:to>
    <xdr:sp macro="" textlink="">
      <xdr:nvSpPr>
        <xdr:cNvPr id="553731" name="Freeform 181">
          <a:extLst>
            <a:ext uri="{FF2B5EF4-FFF2-40B4-BE49-F238E27FC236}">
              <a16:creationId xmlns:a16="http://schemas.microsoft.com/office/drawing/2014/main" id="{48325A66-AA6E-4E0F-8028-212F3FFA67CA}"/>
            </a:ext>
          </a:extLst>
        </xdr:cNvPr>
        <xdr:cNvSpPr>
          <a:spLocks/>
        </xdr:cNvSpPr>
      </xdr:nvSpPr>
      <xdr:spPr bwMode="auto">
        <a:xfrm>
          <a:off x="7842250" y="476250"/>
          <a:ext cx="1327150" cy="1587500"/>
        </a:xfrm>
        <a:custGeom>
          <a:avLst/>
          <a:gdLst>
            <a:gd name="T0" fmla="*/ 0 w 137"/>
            <a:gd name="T1" fmla="*/ 2147483647 h 170"/>
            <a:gd name="T2" fmla="*/ 2147483647 w 137"/>
            <a:gd name="T3" fmla="*/ 2147483647 h 170"/>
            <a:gd name="T4" fmla="*/ 2147483647 w 137"/>
            <a:gd name="T5" fmla="*/ 2147483647 h 170"/>
            <a:gd name="T6" fmla="*/ 2147483647 w 137"/>
            <a:gd name="T7" fmla="*/ 2147483647 h 170"/>
            <a:gd name="T8" fmla="*/ 2147483647 w 137"/>
            <a:gd name="T9" fmla="*/ 2147483647 h 170"/>
            <a:gd name="T10" fmla="*/ 2147483647 w 137"/>
            <a:gd name="T11" fmla="*/ 2147483647 h 170"/>
            <a:gd name="T12" fmla="*/ 2147483647 w 137"/>
            <a:gd name="T13" fmla="*/ 2147483647 h 170"/>
            <a:gd name="T14" fmla="*/ 2147483647 w 137"/>
            <a:gd name="T15" fmla="*/ 2147483647 h 170"/>
            <a:gd name="T16" fmla="*/ 2147483647 w 137"/>
            <a:gd name="T17" fmla="*/ 2147483647 h 170"/>
            <a:gd name="T18" fmla="*/ 2147483647 w 137"/>
            <a:gd name="T19" fmla="*/ 2147483647 h 170"/>
            <a:gd name="T20" fmla="*/ 2147483647 w 137"/>
            <a:gd name="T21" fmla="*/ 2147483647 h 170"/>
            <a:gd name="T22" fmla="*/ 2147483647 w 137"/>
            <a:gd name="T23" fmla="*/ 2147483647 h 170"/>
            <a:gd name="T24" fmla="*/ 2147483647 w 137"/>
            <a:gd name="T25" fmla="*/ 2147483647 h 170"/>
            <a:gd name="T26" fmla="*/ 2147483647 w 137"/>
            <a:gd name="T27" fmla="*/ 2147483647 h 170"/>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60000 65536"/>
            <a:gd name="T40" fmla="*/ 0 60000 65536"/>
            <a:gd name="T41" fmla="*/ 0 60000 65536"/>
            <a:gd name="T42" fmla="*/ 0 w 137"/>
            <a:gd name="T43" fmla="*/ 0 h 170"/>
            <a:gd name="T44" fmla="*/ 137 w 137"/>
            <a:gd name="T45" fmla="*/ 170 h 170"/>
          </a:gdLst>
          <a:ahLst/>
          <a:cxnLst>
            <a:cxn ang="T28">
              <a:pos x="T0" y="T1"/>
            </a:cxn>
            <a:cxn ang="T29">
              <a:pos x="T2" y="T3"/>
            </a:cxn>
            <a:cxn ang="T30">
              <a:pos x="T4" y="T5"/>
            </a:cxn>
            <a:cxn ang="T31">
              <a:pos x="T6" y="T7"/>
            </a:cxn>
            <a:cxn ang="T32">
              <a:pos x="T8" y="T9"/>
            </a:cxn>
            <a:cxn ang="T33">
              <a:pos x="T10" y="T11"/>
            </a:cxn>
            <a:cxn ang="T34">
              <a:pos x="T12" y="T13"/>
            </a:cxn>
            <a:cxn ang="T35">
              <a:pos x="T14" y="T15"/>
            </a:cxn>
            <a:cxn ang="T36">
              <a:pos x="T16" y="T17"/>
            </a:cxn>
            <a:cxn ang="T37">
              <a:pos x="T18" y="T19"/>
            </a:cxn>
            <a:cxn ang="T38">
              <a:pos x="T20" y="T21"/>
            </a:cxn>
            <a:cxn ang="T39">
              <a:pos x="T22" y="T23"/>
            </a:cxn>
            <a:cxn ang="T40">
              <a:pos x="T24" y="T25"/>
            </a:cxn>
            <a:cxn ang="T41">
              <a:pos x="T26" y="T27"/>
            </a:cxn>
          </a:cxnLst>
          <a:rect l="T42" t="T43" r="T44" b="T45"/>
          <a:pathLst>
            <a:path w="137" h="170">
              <a:moveTo>
                <a:pt x="0" y="73"/>
              </a:moveTo>
              <a:cubicBezTo>
                <a:pt x="0" y="53"/>
                <a:pt x="0" y="34"/>
                <a:pt x="2" y="23"/>
              </a:cubicBezTo>
              <a:cubicBezTo>
                <a:pt x="4" y="12"/>
                <a:pt x="5" y="12"/>
                <a:pt x="9" y="9"/>
              </a:cubicBezTo>
              <a:cubicBezTo>
                <a:pt x="13" y="6"/>
                <a:pt x="19" y="4"/>
                <a:pt x="28" y="3"/>
              </a:cubicBezTo>
              <a:cubicBezTo>
                <a:pt x="37" y="2"/>
                <a:pt x="53" y="0"/>
                <a:pt x="64" y="2"/>
              </a:cubicBezTo>
              <a:cubicBezTo>
                <a:pt x="75" y="4"/>
                <a:pt x="88" y="8"/>
                <a:pt x="97" y="14"/>
              </a:cubicBezTo>
              <a:cubicBezTo>
                <a:pt x="106" y="20"/>
                <a:pt x="112" y="28"/>
                <a:pt x="117" y="36"/>
              </a:cubicBezTo>
              <a:cubicBezTo>
                <a:pt x="122" y="44"/>
                <a:pt x="127" y="53"/>
                <a:pt x="130" y="63"/>
              </a:cubicBezTo>
              <a:cubicBezTo>
                <a:pt x="133" y="73"/>
                <a:pt x="135" y="89"/>
                <a:pt x="136" y="97"/>
              </a:cubicBezTo>
              <a:cubicBezTo>
                <a:pt x="137" y="105"/>
                <a:pt x="136" y="104"/>
                <a:pt x="135" y="111"/>
              </a:cubicBezTo>
              <a:cubicBezTo>
                <a:pt x="134" y="118"/>
                <a:pt x="134" y="134"/>
                <a:pt x="130" y="142"/>
              </a:cubicBezTo>
              <a:cubicBezTo>
                <a:pt x="126" y="150"/>
                <a:pt x="117" y="158"/>
                <a:pt x="110" y="162"/>
              </a:cubicBezTo>
              <a:cubicBezTo>
                <a:pt x="103" y="166"/>
                <a:pt x="96" y="166"/>
                <a:pt x="86" y="167"/>
              </a:cubicBezTo>
              <a:cubicBezTo>
                <a:pt x="76" y="168"/>
                <a:pt x="56" y="170"/>
                <a:pt x="50" y="170"/>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0</xdr:colOff>
      <xdr:row>2</xdr:row>
      <xdr:rowOff>82550</xdr:rowOff>
    </xdr:from>
    <xdr:to>
      <xdr:col>12</xdr:col>
      <xdr:colOff>82550</xdr:colOff>
      <xdr:row>12</xdr:row>
      <xdr:rowOff>82550</xdr:rowOff>
    </xdr:to>
    <xdr:sp macro="" textlink="">
      <xdr:nvSpPr>
        <xdr:cNvPr id="553732" name="Freeform 182">
          <a:extLst>
            <a:ext uri="{FF2B5EF4-FFF2-40B4-BE49-F238E27FC236}">
              <a16:creationId xmlns:a16="http://schemas.microsoft.com/office/drawing/2014/main" id="{D37C45AA-9ED7-469D-A87C-D0DFA1713427}"/>
            </a:ext>
          </a:extLst>
        </xdr:cNvPr>
        <xdr:cNvSpPr>
          <a:spLocks/>
        </xdr:cNvSpPr>
      </xdr:nvSpPr>
      <xdr:spPr bwMode="auto">
        <a:xfrm flipH="1">
          <a:off x="6496050" y="476250"/>
          <a:ext cx="1314450" cy="1587500"/>
        </a:xfrm>
        <a:custGeom>
          <a:avLst/>
          <a:gdLst>
            <a:gd name="T0" fmla="*/ 0 w 137"/>
            <a:gd name="T1" fmla="*/ 2147483647 h 170"/>
            <a:gd name="T2" fmla="*/ 2147483647 w 137"/>
            <a:gd name="T3" fmla="*/ 2147483647 h 170"/>
            <a:gd name="T4" fmla="*/ 2147483647 w 137"/>
            <a:gd name="T5" fmla="*/ 2147483647 h 170"/>
            <a:gd name="T6" fmla="*/ 2147483647 w 137"/>
            <a:gd name="T7" fmla="*/ 2147483647 h 170"/>
            <a:gd name="T8" fmla="*/ 2147483647 w 137"/>
            <a:gd name="T9" fmla="*/ 2147483647 h 170"/>
            <a:gd name="T10" fmla="*/ 2147483647 w 137"/>
            <a:gd name="T11" fmla="*/ 2147483647 h 170"/>
            <a:gd name="T12" fmla="*/ 2147483647 w 137"/>
            <a:gd name="T13" fmla="*/ 2147483647 h 170"/>
            <a:gd name="T14" fmla="*/ 2147483647 w 137"/>
            <a:gd name="T15" fmla="*/ 2147483647 h 170"/>
            <a:gd name="T16" fmla="*/ 2147483647 w 137"/>
            <a:gd name="T17" fmla="*/ 2147483647 h 170"/>
            <a:gd name="T18" fmla="*/ 2147483647 w 137"/>
            <a:gd name="T19" fmla="*/ 2147483647 h 170"/>
            <a:gd name="T20" fmla="*/ 2147483647 w 137"/>
            <a:gd name="T21" fmla="*/ 2147483647 h 170"/>
            <a:gd name="T22" fmla="*/ 2147483647 w 137"/>
            <a:gd name="T23" fmla="*/ 2147483647 h 170"/>
            <a:gd name="T24" fmla="*/ 2147483647 w 137"/>
            <a:gd name="T25" fmla="*/ 2147483647 h 170"/>
            <a:gd name="T26" fmla="*/ 2147483647 w 137"/>
            <a:gd name="T27" fmla="*/ 2147483647 h 170"/>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60000 65536"/>
            <a:gd name="T40" fmla="*/ 0 60000 65536"/>
            <a:gd name="T41" fmla="*/ 0 60000 65536"/>
            <a:gd name="T42" fmla="*/ 0 w 137"/>
            <a:gd name="T43" fmla="*/ 0 h 170"/>
            <a:gd name="T44" fmla="*/ 137 w 137"/>
            <a:gd name="T45" fmla="*/ 170 h 170"/>
          </a:gdLst>
          <a:ahLst/>
          <a:cxnLst>
            <a:cxn ang="T28">
              <a:pos x="T0" y="T1"/>
            </a:cxn>
            <a:cxn ang="T29">
              <a:pos x="T2" y="T3"/>
            </a:cxn>
            <a:cxn ang="T30">
              <a:pos x="T4" y="T5"/>
            </a:cxn>
            <a:cxn ang="T31">
              <a:pos x="T6" y="T7"/>
            </a:cxn>
            <a:cxn ang="T32">
              <a:pos x="T8" y="T9"/>
            </a:cxn>
            <a:cxn ang="T33">
              <a:pos x="T10" y="T11"/>
            </a:cxn>
            <a:cxn ang="T34">
              <a:pos x="T12" y="T13"/>
            </a:cxn>
            <a:cxn ang="T35">
              <a:pos x="T14" y="T15"/>
            </a:cxn>
            <a:cxn ang="T36">
              <a:pos x="T16" y="T17"/>
            </a:cxn>
            <a:cxn ang="T37">
              <a:pos x="T18" y="T19"/>
            </a:cxn>
            <a:cxn ang="T38">
              <a:pos x="T20" y="T21"/>
            </a:cxn>
            <a:cxn ang="T39">
              <a:pos x="T22" y="T23"/>
            </a:cxn>
            <a:cxn ang="T40">
              <a:pos x="T24" y="T25"/>
            </a:cxn>
            <a:cxn ang="T41">
              <a:pos x="T26" y="T27"/>
            </a:cxn>
          </a:cxnLst>
          <a:rect l="T42" t="T43" r="T44" b="T45"/>
          <a:pathLst>
            <a:path w="137" h="170">
              <a:moveTo>
                <a:pt x="0" y="73"/>
              </a:moveTo>
              <a:cubicBezTo>
                <a:pt x="0" y="53"/>
                <a:pt x="0" y="34"/>
                <a:pt x="2" y="23"/>
              </a:cubicBezTo>
              <a:cubicBezTo>
                <a:pt x="4" y="12"/>
                <a:pt x="5" y="12"/>
                <a:pt x="9" y="9"/>
              </a:cubicBezTo>
              <a:cubicBezTo>
                <a:pt x="13" y="6"/>
                <a:pt x="19" y="4"/>
                <a:pt x="28" y="3"/>
              </a:cubicBezTo>
              <a:cubicBezTo>
                <a:pt x="37" y="2"/>
                <a:pt x="53" y="0"/>
                <a:pt x="64" y="2"/>
              </a:cubicBezTo>
              <a:cubicBezTo>
                <a:pt x="75" y="4"/>
                <a:pt x="88" y="8"/>
                <a:pt x="97" y="14"/>
              </a:cubicBezTo>
              <a:cubicBezTo>
                <a:pt x="106" y="20"/>
                <a:pt x="112" y="28"/>
                <a:pt x="117" y="36"/>
              </a:cubicBezTo>
              <a:cubicBezTo>
                <a:pt x="122" y="44"/>
                <a:pt x="127" y="53"/>
                <a:pt x="130" y="63"/>
              </a:cubicBezTo>
              <a:cubicBezTo>
                <a:pt x="133" y="73"/>
                <a:pt x="135" y="89"/>
                <a:pt x="136" y="97"/>
              </a:cubicBezTo>
              <a:cubicBezTo>
                <a:pt x="137" y="105"/>
                <a:pt x="136" y="104"/>
                <a:pt x="135" y="111"/>
              </a:cubicBezTo>
              <a:cubicBezTo>
                <a:pt x="134" y="118"/>
                <a:pt x="134" y="134"/>
                <a:pt x="130" y="142"/>
              </a:cubicBezTo>
              <a:cubicBezTo>
                <a:pt x="126" y="150"/>
                <a:pt x="117" y="158"/>
                <a:pt x="110" y="162"/>
              </a:cubicBezTo>
              <a:cubicBezTo>
                <a:pt x="103" y="166"/>
                <a:pt x="96" y="166"/>
                <a:pt x="86" y="167"/>
              </a:cubicBezTo>
              <a:cubicBezTo>
                <a:pt x="76" y="168"/>
                <a:pt x="56" y="170"/>
                <a:pt x="50" y="170"/>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17</xdr:col>
      <xdr:colOff>241300</xdr:colOff>
      <xdr:row>12</xdr:row>
      <xdr:rowOff>107950</xdr:rowOff>
    </xdr:from>
    <xdr:to>
      <xdr:col>20</xdr:col>
      <xdr:colOff>57150</xdr:colOff>
      <xdr:row>23</xdr:row>
      <xdr:rowOff>120650</xdr:rowOff>
    </xdr:to>
    <xdr:sp macro="" textlink="">
      <xdr:nvSpPr>
        <xdr:cNvPr id="553733" name="Freeform 183">
          <a:extLst>
            <a:ext uri="{FF2B5EF4-FFF2-40B4-BE49-F238E27FC236}">
              <a16:creationId xmlns:a16="http://schemas.microsoft.com/office/drawing/2014/main" id="{45059058-6C57-45CF-8CF1-D1C004DA13C4}"/>
            </a:ext>
          </a:extLst>
        </xdr:cNvPr>
        <xdr:cNvSpPr>
          <a:spLocks/>
        </xdr:cNvSpPr>
      </xdr:nvSpPr>
      <xdr:spPr bwMode="auto">
        <a:xfrm>
          <a:off x="11677650" y="2089150"/>
          <a:ext cx="1708150" cy="1758950"/>
        </a:xfrm>
        <a:custGeom>
          <a:avLst/>
          <a:gdLst>
            <a:gd name="T0" fmla="*/ 2147483647 w 176"/>
            <a:gd name="T1" fmla="*/ 0 h 188"/>
            <a:gd name="T2" fmla="*/ 2147483647 w 176"/>
            <a:gd name="T3" fmla="*/ 2147483647 h 188"/>
            <a:gd name="T4" fmla="*/ 2147483647 w 176"/>
            <a:gd name="T5" fmla="*/ 2147483647 h 188"/>
            <a:gd name="T6" fmla="*/ 2147483647 w 176"/>
            <a:gd name="T7" fmla="*/ 2147483647 h 188"/>
            <a:gd name="T8" fmla="*/ 2147483647 w 176"/>
            <a:gd name="T9" fmla="*/ 2147483647 h 188"/>
            <a:gd name="T10" fmla="*/ 2147483647 w 176"/>
            <a:gd name="T11" fmla="*/ 2147483647 h 188"/>
            <a:gd name="T12" fmla="*/ 2147483647 w 176"/>
            <a:gd name="T13" fmla="*/ 2147483647 h 188"/>
            <a:gd name="T14" fmla="*/ 2147483647 w 176"/>
            <a:gd name="T15" fmla="*/ 2147483647 h 188"/>
            <a:gd name="T16" fmla="*/ 2147483647 w 176"/>
            <a:gd name="T17" fmla="*/ 2147483647 h 188"/>
            <a:gd name="T18" fmla="*/ 2147483647 w 176"/>
            <a:gd name="T19" fmla="*/ 2147483647 h 188"/>
            <a:gd name="T20" fmla="*/ 0 w 176"/>
            <a:gd name="T21" fmla="*/ 2147483647 h 188"/>
            <a:gd name="T22" fmla="*/ 0 60000 65536"/>
            <a:gd name="T23" fmla="*/ 0 60000 65536"/>
            <a:gd name="T24" fmla="*/ 0 60000 65536"/>
            <a:gd name="T25" fmla="*/ 0 60000 65536"/>
            <a:gd name="T26" fmla="*/ 0 60000 65536"/>
            <a:gd name="T27" fmla="*/ 0 60000 65536"/>
            <a:gd name="T28" fmla="*/ 0 60000 65536"/>
            <a:gd name="T29" fmla="*/ 0 60000 65536"/>
            <a:gd name="T30" fmla="*/ 0 60000 65536"/>
            <a:gd name="T31" fmla="*/ 0 60000 65536"/>
            <a:gd name="T32" fmla="*/ 0 60000 65536"/>
            <a:gd name="T33" fmla="*/ 0 w 176"/>
            <a:gd name="T34" fmla="*/ 0 h 188"/>
            <a:gd name="T35" fmla="*/ 176 w 176"/>
            <a:gd name="T36" fmla="*/ 188 h 188"/>
          </a:gdLst>
          <a:ahLst/>
          <a:cxnLst>
            <a:cxn ang="T22">
              <a:pos x="T0" y="T1"/>
            </a:cxn>
            <a:cxn ang="T23">
              <a:pos x="T2" y="T3"/>
            </a:cxn>
            <a:cxn ang="T24">
              <a:pos x="T4" y="T5"/>
            </a:cxn>
            <a:cxn ang="T25">
              <a:pos x="T6" y="T7"/>
            </a:cxn>
            <a:cxn ang="T26">
              <a:pos x="T8" y="T9"/>
            </a:cxn>
            <a:cxn ang="T27">
              <a:pos x="T10" y="T11"/>
            </a:cxn>
            <a:cxn ang="T28">
              <a:pos x="T12" y="T13"/>
            </a:cxn>
            <a:cxn ang="T29">
              <a:pos x="T14" y="T15"/>
            </a:cxn>
            <a:cxn ang="T30">
              <a:pos x="T16" y="T17"/>
            </a:cxn>
            <a:cxn ang="T31">
              <a:pos x="T18" y="T19"/>
            </a:cxn>
            <a:cxn ang="T32">
              <a:pos x="T20" y="T21"/>
            </a:cxn>
          </a:cxnLst>
          <a:rect l="T33" t="T34" r="T35" b="T36"/>
          <a:pathLst>
            <a:path w="176" h="188">
              <a:moveTo>
                <a:pt x="55" y="0"/>
              </a:moveTo>
              <a:cubicBezTo>
                <a:pt x="71" y="1"/>
                <a:pt x="88" y="2"/>
                <a:pt x="100" y="3"/>
              </a:cubicBezTo>
              <a:cubicBezTo>
                <a:pt x="112" y="4"/>
                <a:pt x="118" y="5"/>
                <a:pt x="126" y="9"/>
              </a:cubicBezTo>
              <a:cubicBezTo>
                <a:pt x="134" y="13"/>
                <a:pt x="142" y="18"/>
                <a:pt x="150" y="26"/>
              </a:cubicBezTo>
              <a:cubicBezTo>
                <a:pt x="158" y="34"/>
                <a:pt x="168" y="47"/>
                <a:pt x="172" y="59"/>
              </a:cubicBezTo>
              <a:cubicBezTo>
                <a:pt x="176" y="71"/>
                <a:pt x="175" y="86"/>
                <a:pt x="174" y="99"/>
              </a:cubicBezTo>
              <a:cubicBezTo>
                <a:pt x="173" y="112"/>
                <a:pt x="173" y="125"/>
                <a:pt x="168" y="136"/>
              </a:cubicBezTo>
              <a:cubicBezTo>
                <a:pt x="163" y="147"/>
                <a:pt x="151" y="156"/>
                <a:pt x="141" y="163"/>
              </a:cubicBezTo>
              <a:cubicBezTo>
                <a:pt x="131" y="170"/>
                <a:pt x="120" y="174"/>
                <a:pt x="106" y="178"/>
              </a:cubicBezTo>
              <a:cubicBezTo>
                <a:pt x="92" y="182"/>
                <a:pt x="74" y="184"/>
                <a:pt x="56" y="186"/>
              </a:cubicBezTo>
              <a:cubicBezTo>
                <a:pt x="38" y="188"/>
                <a:pt x="19" y="188"/>
                <a:pt x="0" y="188"/>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14</xdr:col>
      <xdr:colOff>990600</xdr:colOff>
      <xdr:row>12</xdr:row>
      <xdr:rowOff>107950</xdr:rowOff>
    </xdr:from>
    <xdr:to>
      <xdr:col>17</xdr:col>
      <xdr:colOff>241300</xdr:colOff>
      <xdr:row>23</xdr:row>
      <xdr:rowOff>120650</xdr:rowOff>
    </xdr:to>
    <xdr:sp macro="" textlink="">
      <xdr:nvSpPr>
        <xdr:cNvPr id="553734" name="Freeform 184">
          <a:extLst>
            <a:ext uri="{FF2B5EF4-FFF2-40B4-BE49-F238E27FC236}">
              <a16:creationId xmlns:a16="http://schemas.microsoft.com/office/drawing/2014/main" id="{0ECCEFBD-EA51-45B2-A15F-0650FD023C4D}"/>
            </a:ext>
          </a:extLst>
        </xdr:cNvPr>
        <xdr:cNvSpPr>
          <a:spLocks/>
        </xdr:cNvSpPr>
      </xdr:nvSpPr>
      <xdr:spPr bwMode="auto">
        <a:xfrm flipH="1">
          <a:off x="9950450" y="2089150"/>
          <a:ext cx="1727200" cy="1758950"/>
        </a:xfrm>
        <a:custGeom>
          <a:avLst/>
          <a:gdLst>
            <a:gd name="T0" fmla="*/ 2147483647 w 176"/>
            <a:gd name="T1" fmla="*/ 0 h 188"/>
            <a:gd name="T2" fmla="*/ 2147483647 w 176"/>
            <a:gd name="T3" fmla="*/ 2147483647 h 188"/>
            <a:gd name="T4" fmla="*/ 2147483647 w 176"/>
            <a:gd name="T5" fmla="*/ 2147483647 h 188"/>
            <a:gd name="T6" fmla="*/ 2147483647 w 176"/>
            <a:gd name="T7" fmla="*/ 2147483647 h 188"/>
            <a:gd name="T8" fmla="*/ 2147483647 w 176"/>
            <a:gd name="T9" fmla="*/ 2147483647 h 188"/>
            <a:gd name="T10" fmla="*/ 2147483647 w 176"/>
            <a:gd name="T11" fmla="*/ 2147483647 h 188"/>
            <a:gd name="T12" fmla="*/ 2147483647 w 176"/>
            <a:gd name="T13" fmla="*/ 2147483647 h 188"/>
            <a:gd name="T14" fmla="*/ 2147483647 w 176"/>
            <a:gd name="T15" fmla="*/ 2147483647 h 188"/>
            <a:gd name="T16" fmla="*/ 2147483647 w 176"/>
            <a:gd name="T17" fmla="*/ 2147483647 h 188"/>
            <a:gd name="T18" fmla="*/ 2147483647 w 176"/>
            <a:gd name="T19" fmla="*/ 2147483647 h 188"/>
            <a:gd name="T20" fmla="*/ 0 w 176"/>
            <a:gd name="T21" fmla="*/ 2147483647 h 188"/>
            <a:gd name="T22" fmla="*/ 0 60000 65536"/>
            <a:gd name="T23" fmla="*/ 0 60000 65536"/>
            <a:gd name="T24" fmla="*/ 0 60000 65536"/>
            <a:gd name="T25" fmla="*/ 0 60000 65536"/>
            <a:gd name="T26" fmla="*/ 0 60000 65536"/>
            <a:gd name="T27" fmla="*/ 0 60000 65536"/>
            <a:gd name="T28" fmla="*/ 0 60000 65536"/>
            <a:gd name="T29" fmla="*/ 0 60000 65536"/>
            <a:gd name="T30" fmla="*/ 0 60000 65536"/>
            <a:gd name="T31" fmla="*/ 0 60000 65536"/>
            <a:gd name="T32" fmla="*/ 0 60000 65536"/>
            <a:gd name="T33" fmla="*/ 0 w 176"/>
            <a:gd name="T34" fmla="*/ 0 h 188"/>
            <a:gd name="T35" fmla="*/ 176 w 176"/>
            <a:gd name="T36" fmla="*/ 188 h 188"/>
          </a:gdLst>
          <a:ahLst/>
          <a:cxnLst>
            <a:cxn ang="T22">
              <a:pos x="T0" y="T1"/>
            </a:cxn>
            <a:cxn ang="T23">
              <a:pos x="T2" y="T3"/>
            </a:cxn>
            <a:cxn ang="T24">
              <a:pos x="T4" y="T5"/>
            </a:cxn>
            <a:cxn ang="T25">
              <a:pos x="T6" y="T7"/>
            </a:cxn>
            <a:cxn ang="T26">
              <a:pos x="T8" y="T9"/>
            </a:cxn>
            <a:cxn ang="T27">
              <a:pos x="T10" y="T11"/>
            </a:cxn>
            <a:cxn ang="T28">
              <a:pos x="T12" y="T13"/>
            </a:cxn>
            <a:cxn ang="T29">
              <a:pos x="T14" y="T15"/>
            </a:cxn>
            <a:cxn ang="T30">
              <a:pos x="T16" y="T17"/>
            </a:cxn>
            <a:cxn ang="T31">
              <a:pos x="T18" y="T19"/>
            </a:cxn>
            <a:cxn ang="T32">
              <a:pos x="T20" y="T21"/>
            </a:cxn>
          </a:cxnLst>
          <a:rect l="T33" t="T34" r="T35" b="T36"/>
          <a:pathLst>
            <a:path w="176" h="188">
              <a:moveTo>
                <a:pt x="55" y="0"/>
              </a:moveTo>
              <a:cubicBezTo>
                <a:pt x="71" y="1"/>
                <a:pt x="88" y="2"/>
                <a:pt x="100" y="3"/>
              </a:cubicBezTo>
              <a:cubicBezTo>
                <a:pt x="112" y="4"/>
                <a:pt x="118" y="5"/>
                <a:pt x="126" y="9"/>
              </a:cubicBezTo>
              <a:cubicBezTo>
                <a:pt x="134" y="13"/>
                <a:pt x="142" y="18"/>
                <a:pt x="150" y="26"/>
              </a:cubicBezTo>
              <a:cubicBezTo>
                <a:pt x="158" y="34"/>
                <a:pt x="168" y="47"/>
                <a:pt x="172" y="59"/>
              </a:cubicBezTo>
              <a:cubicBezTo>
                <a:pt x="176" y="71"/>
                <a:pt x="175" y="86"/>
                <a:pt x="174" y="99"/>
              </a:cubicBezTo>
              <a:cubicBezTo>
                <a:pt x="173" y="112"/>
                <a:pt x="173" y="125"/>
                <a:pt x="168" y="136"/>
              </a:cubicBezTo>
              <a:cubicBezTo>
                <a:pt x="163" y="147"/>
                <a:pt x="151" y="156"/>
                <a:pt x="141" y="163"/>
              </a:cubicBezTo>
              <a:cubicBezTo>
                <a:pt x="131" y="170"/>
                <a:pt x="120" y="174"/>
                <a:pt x="106" y="178"/>
              </a:cubicBezTo>
              <a:cubicBezTo>
                <a:pt x="92" y="182"/>
                <a:pt x="74" y="184"/>
                <a:pt x="56" y="186"/>
              </a:cubicBezTo>
              <a:cubicBezTo>
                <a:pt x="38" y="188"/>
                <a:pt x="19" y="188"/>
                <a:pt x="0" y="188"/>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17</xdr:col>
      <xdr:colOff>241300</xdr:colOff>
      <xdr:row>1</xdr:row>
      <xdr:rowOff>63500</xdr:rowOff>
    </xdr:from>
    <xdr:to>
      <xdr:col>20</xdr:col>
      <xdr:colOff>57150</xdr:colOff>
      <xdr:row>12</xdr:row>
      <xdr:rowOff>82550</xdr:rowOff>
    </xdr:to>
    <xdr:sp macro="" textlink="">
      <xdr:nvSpPr>
        <xdr:cNvPr id="553735" name="Freeform 185">
          <a:extLst>
            <a:ext uri="{FF2B5EF4-FFF2-40B4-BE49-F238E27FC236}">
              <a16:creationId xmlns:a16="http://schemas.microsoft.com/office/drawing/2014/main" id="{FC2E86F1-33EE-4E1A-B7F5-41A85F1D21F3}"/>
            </a:ext>
          </a:extLst>
        </xdr:cNvPr>
        <xdr:cNvSpPr>
          <a:spLocks/>
        </xdr:cNvSpPr>
      </xdr:nvSpPr>
      <xdr:spPr bwMode="auto">
        <a:xfrm flipV="1">
          <a:off x="11677650" y="298450"/>
          <a:ext cx="1708150" cy="1765300"/>
        </a:xfrm>
        <a:custGeom>
          <a:avLst/>
          <a:gdLst>
            <a:gd name="T0" fmla="*/ 2147483647 w 176"/>
            <a:gd name="T1" fmla="*/ 0 h 188"/>
            <a:gd name="T2" fmla="*/ 2147483647 w 176"/>
            <a:gd name="T3" fmla="*/ 2147483647 h 188"/>
            <a:gd name="T4" fmla="*/ 2147483647 w 176"/>
            <a:gd name="T5" fmla="*/ 2147483647 h 188"/>
            <a:gd name="T6" fmla="*/ 2147483647 w 176"/>
            <a:gd name="T7" fmla="*/ 2147483647 h 188"/>
            <a:gd name="T8" fmla="*/ 2147483647 w 176"/>
            <a:gd name="T9" fmla="*/ 2147483647 h 188"/>
            <a:gd name="T10" fmla="*/ 2147483647 w 176"/>
            <a:gd name="T11" fmla="*/ 2147483647 h 188"/>
            <a:gd name="T12" fmla="*/ 2147483647 w 176"/>
            <a:gd name="T13" fmla="*/ 2147483647 h 188"/>
            <a:gd name="T14" fmla="*/ 2147483647 w 176"/>
            <a:gd name="T15" fmla="*/ 2147483647 h 188"/>
            <a:gd name="T16" fmla="*/ 2147483647 w 176"/>
            <a:gd name="T17" fmla="*/ 2147483647 h 188"/>
            <a:gd name="T18" fmla="*/ 2147483647 w 176"/>
            <a:gd name="T19" fmla="*/ 2147483647 h 188"/>
            <a:gd name="T20" fmla="*/ 0 w 176"/>
            <a:gd name="T21" fmla="*/ 2147483647 h 188"/>
            <a:gd name="T22" fmla="*/ 0 60000 65536"/>
            <a:gd name="T23" fmla="*/ 0 60000 65536"/>
            <a:gd name="T24" fmla="*/ 0 60000 65536"/>
            <a:gd name="T25" fmla="*/ 0 60000 65536"/>
            <a:gd name="T26" fmla="*/ 0 60000 65536"/>
            <a:gd name="T27" fmla="*/ 0 60000 65536"/>
            <a:gd name="T28" fmla="*/ 0 60000 65536"/>
            <a:gd name="T29" fmla="*/ 0 60000 65536"/>
            <a:gd name="T30" fmla="*/ 0 60000 65536"/>
            <a:gd name="T31" fmla="*/ 0 60000 65536"/>
            <a:gd name="T32" fmla="*/ 0 60000 65536"/>
            <a:gd name="T33" fmla="*/ 0 w 176"/>
            <a:gd name="T34" fmla="*/ 0 h 188"/>
            <a:gd name="T35" fmla="*/ 176 w 176"/>
            <a:gd name="T36" fmla="*/ 188 h 188"/>
          </a:gdLst>
          <a:ahLst/>
          <a:cxnLst>
            <a:cxn ang="T22">
              <a:pos x="T0" y="T1"/>
            </a:cxn>
            <a:cxn ang="T23">
              <a:pos x="T2" y="T3"/>
            </a:cxn>
            <a:cxn ang="T24">
              <a:pos x="T4" y="T5"/>
            </a:cxn>
            <a:cxn ang="T25">
              <a:pos x="T6" y="T7"/>
            </a:cxn>
            <a:cxn ang="T26">
              <a:pos x="T8" y="T9"/>
            </a:cxn>
            <a:cxn ang="T27">
              <a:pos x="T10" y="T11"/>
            </a:cxn>
            <a:cxn ang="T28">
              <a:pos x="T12" y="T13"/>
            </a:cxn>
            <a:cxn ang="T29">
              <a:pos x="T14" y="T15"/>
            </a:cxn>
            <a:cxn ang="T30">
              <a:pos x="T16" y="T17"/>
            </a:cxn>
            <a:cxn ang="T31">
              <a:pos x="T18" y="T19"/>
            </a:cxn>
            <a:cxn ang="T32">
              <a:pos x="T20" y="T21"/>
            </a:cxn>
          </a:cxnLst>
          <a:rect l="T33" t="T34" r="T35" b="T36"/>
          <a:pathLst>
            <a:path w="176" h="188">
              <a:moveTo>
                <a:pt x="55" y="0"/>
              </a:moveTo>
              <a:cubicBezTo>
                <a:pt x="71" y="1"/>
                <a:pt x="88" y="2"/>
                <a:pt x="100" y="3"/>
              </a:cubicBezTo>
              <a:cubicBezTo>
                <a:pt x="112" y="4"/>
                <a:pt x="118" y="5"/>
                <a:pt x="126" y="9"/>
              </a:cubicBezTo>
              <a:cubicBezTo>
                <a:pt x="134" y="13"/>
                <a:pt x="142" y="18"/>
                <a:pt x="150" y="26"/>
              </a:cubicBezTo>
              <a:cubicBezTo>
                <a:pt x="158" y="34"/>
                <a:pt x="168" y="47"/>
                <a:pt x="172" y="59"/>
              </a:cubicBezTo>
              <a:cubicBezTo>
                <a:pt x="176" y="71"/>
                <a:pt x="175" y="86"/>
                <a:pt x="174" y="99"/>
              </a:cubicBezTo>
              <a:cubicBezTo>
                <a:pt x="173" y="112"/>
                <a:pt x="173" y="125"/>
                <a:pt x="168" y="136"/>
              </a:cubicBezTo>
              <a:cubicBezTo>
                <a:pt x="163" y="147"/>
                <a:pt x="151" y="156"/>
                <a:pt x="141" y="163"/>
              </a:cubicBezTo>
              <a:cubicBezTo>
                <a:pt x="131" y="170"/>
                <a:pt x="120" y="174"/>
                <a:pt x="106" y="178"/>
              </a:cubicBezTo>
              <a:cubicBezTo>
                <a:pt x="92" y="182"/>
                <a:pt x="74" y="184"/>
                <a:pt x="56" y="186"/>
              </a:cubicBezTo>
              <a:cubicBezTo>
                <a:pt x="38" y="188"/>
                <a:pt x="19" y="188"/>
                <a:pt x="0" y="188"/>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14</xdr:col>
      <xdr:colOff>933450</xdr:colOff>
      <xdr:row>1</xdr:row>
      <xdr:rowOff>63500</xdr:rowOff>
    </xdr:from>
    <xdr:to>
      <xdr:col>17</xdr:col>
      <xdr:colOff>196850</xdr:colOff>
      <xdr:row>12</xdr:row>
      <xdr:rowOff>82550</xdr:rowOff>
    </xdr:to>
    <xdr:sp macro="" textlink="">
      <xdr:nvSpPr>
        <xdr:cNvPr id="553736" name="Freeform 186">
          <a:extLst>
            <a:ext uri="{FF2B5EF4-FFF2-40B4-BE49-F238E27FC236}">
              <a16:creationId xmlns:a16="http://schemas.microsoft.com/office/drawing/2014/main" id="{2E96D9EF-073D-45A6-B2BA-EA47AF343A25}"/>
            </a:ext>
          </a:extLst>
        </xdr:cNvPr>
        <xdr:cNvSpPr>
          <a:spLocks/>
        </xdr:cNvSpPr>
      </xdr:nvSpPr>
      <xdr:spPr bwMode="auto">
        <a:xfrm flipH="1" flipV="1">
          <a:off x="9893300" y="298450"/>
          <a:ext cx="1739900" cy="1765300"/>
        </a:xfrm>
        <a:custGeom>
          <a:avLst/>
          <a:gdLst>
            <a:gd name="T0" fmla="*/ 2147483647 w 176"/>
            <a:gd name="T1" fmla="*/ 0 h 188"/>
            <a:gd name="T2" fmla="*/ 2147483647 w 176"/>
            <a:gd name="T3" fmla="*/ 2147483647 h 188"/>
            <a:gd name="T4" fmla="*/ 2147483647 w 176"/>
            <a:gd name="T5" fmla="*/ 2147483647 h 188"/>
            <a:gd name="T6" fmla="*/ 2147483647 w 176"/>
            <a:gd name="T7" fmla="*/ 2147483647 h 188"/>
            <a:gd name="T8" fmla="*/ 2147483647 w 176"/>
            <a:gd name="T9" fmla="*/ 2147483647 h 188"/>
            <a:gd name="T10" fmla="*/ 2147483647 w 176"/>
            <a:gd name="T11" fmla="*/ 2147483647 h 188"/>
            <a:gd name="T12" fmla="*/ 2147483647 w 176"/>
            <a:gd name="T13" fmla="*/ 2147483647 h 188"/>
            <a:gd name="T14" fmla="*/ 2147483647 w 176"/>
            <a:gd name="T15" fmla="*/ 2147483647 h 188"/>
            <a:gd name="T16" fmla="*/ 2147483647 w 176"/>
            <a:gd name="T17" fmla="*/ 2147483647 h 188"/>
            <a:gd name="T18" fmla="*/ 2147483647 w 176"/>
            <a:gd name="T19" fmla="*/ 2147483647 h 188"/>
            <a:gd name="T20" fmla="*/ 0 w 176"/>
            <a:gd name="T21" fmla="*/ 2147483647 h 188"/>
            <a:gd name="T22" fmla="*/ 0 60000 65536"/>
            <a:gd name="T23" fmla="*/ 0 60000 65536"/>
            <a:gd name="T24" fmla="*/ 0 60000 65536"/>
            <a:gd name="T25" fmla="*/ 0 60000 65536"/>
            <a:gd name="T26" fmla="*/ 0 60000 65536"/>
            <a:gd name="T27" fmla="*/ 0 60000 65536"/>
            <a:gd name="T28" fmla="*/ 0 60000 65536"/>
            <a:gd name="T29" fmla="*/ 0 60000 65536"/>
            <a:gd name="T30" fmla="*/ 0 60000 65536"/>
            <a:gd name="T31" fmla="*/ 0 60000 65536"/>
            <a:gd name="T32" fmla="*/ 0 60000 65536"/>
            <a:gd name="T33" fmla="*/ 0 w 176"/>
            <a:gd name="T34" fmla="*/ 0 h 188"/>
            <a:gd name="T35" fmla="*/ 176 w 176"/>
            <a:gd name="T36" fmla="*/ 188 h 188"/>
          </a:gdLst>
          <a:ahLst/>
          <a:cxnLst>
            <a:cxn ang="T22">
              <a:pos x="T0" y="T1"/>
            </a:cxn>
            <a:cxn ang="T23">
              <a:pos x="T2" y="T3"/>
            </a:cxn>
            <a:cxn ang="T24">
              <a:pos x="T4" y="T5"/>
            </a:cxn>
            <a:cxn ang="T25">
              <a:pos x="T6" y="T7"/>
            </a:cxn>
            <a:cxn ang="T26">
              <a:pos x="T8" y="T9"/>
            </a:cxn>
            <a:cxn ang="T27">
              <a:pos x="T10" y="T11"/>
            </a:cxn>
            <a:cxn ang="T28">
              <a:pos x="T12" y="T13"/>
            </a:cxn>
            <a:cxn ang="T29">
              <a:pos x="T14" y="T15"/>
            </a:cxn>
            <a:cxn ang="T30">
              <a:pos x="T16" y="T17"/>
            </a:cxn>
            <a:cxn ang="T31">
              <a:pos x="T18" y="T19"/>
            </a:cxn>
            <a:cxn ang="T32">
              <a:pos x="T20" y="T21"/>
            </a:cxn>
          </a:cxnLst>
          <a:rect l="T33" t="T34" r="T35" b="T36"/>
          <a:pathLst>
            <a:path w="176" h="188">
              <a:moveTo>
                <a:pt x="55" y="0"/>
              </a:moveTo>
              <a:cubicBezTo>
                <a:pt x="71" y="1"/>
                <a:pt x="88" y="2"/>
                <a:pt x="100" y="3"/>
              </a:cubicBezTo>
              <a:cubicBezTo>
                <a:pt x="112" y="4"/>
                <a:pt x="118" y="5"/>
                <a:pt x="126" y="9"/>
              </a:cubicBezTo>
              <a:cubicBezTo>
                <a:pt x="134" y="13"/>
                <a:pt x="142" y="18"/>
                <a:pt x="150" y="26"/>
              </a:cubicBezTo>
              <a:cubicBezTo>
                <a:pt x="158" y="34"/>
                <a:pt x="168" y="47"/>
                <a:pt x="172" y="59"/>
              </a:cubicBezTo>
              <a:cubicBezTo>
                <a:pt x="176" y="71"/>
                <a:pt x="175" y="86"/>
                <a:pt x="174" y="99"/>
              </a:cubicBezTo>
              <a:cubicBezTo>
                <a:pt x="173" y="112"/>
                <a:pt x="173" y="125"/>
                <a:pt x="168" y="136"/>
              </a:cubicBezTo>
              <a:cubicBezTo>
                <a:pt x="163" y="147"/>
                <a:pt x="151" y="156"/>
                <a:pt x="141" y="163"/>
              </a:cubicBezTo>
              <a:cubicBezTo>
                <a:pt x="131" y="170"/>
                <a:pt x="120" y="174"/>
                <a:pt x="106" y="178"/>
              </a:cubicBezTo>
              <a:cubicBezTo>
                <a:pt x="92" y="182"/>
                <a:pt x="74" y="184"/>
                <a:pt x="56" y="186"/>
              </a:cubicBezTo>
              <a:cubicBezTo>
                <a:pt x="38" y="188"/>
                <a:pt x="19" y="188"/>
                <a:pt x="0" y="188"/>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38</xdr:col>
      <xdr:colOff>476250</xdr:colOff>
      <xdr:row>1</xdr:row>
      <xdr:rowOff>12700</xdr:rowOff>
    </xdr:from>
    <xdr:to>
      <xdr:col>50</xdr:col>
      <xdr:colOff>0</xdr:colOff>
      <xdr:row>38</xdr:row>
      <xdr:rowOff>152400</xdr:rowOff>
    </xdr:to>
    <xdr:graphicFrame macro="">
      <xdr:nvGraphicFramePr>
        <xdr:cNvPr id="553737" name="Chart 187">
          <a:extLst>
            <a:ext uri="{FF2B5EF4-FFF2-40B4-BE49-F238E27FC236}">
              <a16:creationId xmlns:a16="http://schemas.microsoft.com/office/drawing/2014/main" id="{3150DB02-0C33-4808-BF88-02DFDFD929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46</xdr:col>
      <xdr:colOff>422275</xdr:colOff>
      <xdr:row>36</xdr:row>
      <xdr:rowOff>152400</xdr:rowOff>
    </xdr:from>
    <xdr:ext cx="660307" cy="218612"/>
    <xdr:sp macro="" textlink="">
      <xdr:nvSpPr>
        <xdr:cNvPr id="10428" name="Text Box 188">
          <a:extLst>
            <a:ext uri="{FF2B5EF4-FFF2-40B4-BE49-F238E27FC236}">
              <a16:creationId xmlns:a16="http://schemas.microsoft.com/office/drawing/2014/main" id="{52C15773-B3F9-4FFD-912F-3494424EBFD8}"/>
            </a:ext>
          </a:extLst>
        </xdr:cNvPr>
        <xdr:cNvSpPr txBox="1">
          <a:spLocks noChangeArrowheads="1"/>
        </xdr:cNvSpPr>
      </xdr:nvSpPr>
      <xdr:spPr bwMode="auto">
        <a:xfrm>
          <a:off x="32718375" y="5985933"/>
          <a:ext cx="626271" cy="212366"/>
        </a:xfrm>
        <a:prstGeom prst="rect">
          <a:avLst/>
        </a:prstGeom>
        <a:noFill/>
        <a:ln w="9525">
          <a:noFill/>
          <a:miter lim="800000"/>
          <a:headEnd/>
          <a:tailEnd/>
        </a:ln>
      </xdr:spPr>
      <xdr:txBody>
        <a:bodyPr wrap="none" lIns="27432" tIns="27432" rIns="0" bIns="0" anchor="t" upright="1">
          <a:spAutoFit/>
        </a:bodyPr>
        <a:lstStyle/>
        <a:p>
          <a:pPr algn="l" rtl="1">
            <a:defRPr sz="1000"/>
          </a:pPr>
          <a:r>
            <a:rPr lang="en-US" sz="1200" b="1" i="0" strike="noStrike">
              <a:solidFill>
                <a:srgbClr val="000000"/>
              </a:solidFill>
              <a:latin typeface="Arial"/>
              <a:cs typeface="Arial"/>
            </a:rPr>
            <a:t>Figure 8</a:t>
          </a:r>
        </a:p>
      </xdr:txBody>
    </xdr:sp>
    <xdr:clientData/>
  </xdr:oneCellAnchor>
  <xdr:twoCellAnchor>
    <xdr:from>
      <xdr:col>34</xdr:col>
      <xdr:colOff>279400</xdr:colOff>
      <xdr:row>1</xdr:row>
      <xdr:rowOff>152400</xdr:rowOff>
    </xdr:from>
    <xdr:to>
      <xdr:col>35</xdr:col>
      <xdr:colOff>431800</xdr:colOff>
      <xdr:row>9</xdr:row>
      <xdr:rowOff>82550</xdr:rowOff>
    </xdr:to>
    <xdr:sp macro="" textlink="">
      <xdr:nvSpPr>
        <xdr:cNvPr id="553739" name="Freeform 191">
          <a:extLst>
            <a:ext uri="{FF2B5EF4-FFF2-40B4-BE49-F238E27FC236}">
              <a16:creationId xmlns:a16="http://schemas.microsoft.com/office/drawing/2014/main" id="{F58C4E00-817B-4FF2-B57D-71CC815092D7}"/>
            </a:ext>
          </a:extLst>
        </xdr:cNvPr>
        <xdr:cNvSpPr>
          <a:spLocks/>
        </xdr:cNvSpPr>
      </xdr:nvSpPr>
      <xdr:spPr bwMode="auto">
        <a:xfrm>
          <a:off x="22231350" y="387350"/>
          <a:ext cx="768350" cy="1200150"/>
        </a:xfrm>
        <a:custGeom>
          <a:avLst/>
          <a:gdLst>
            <a:gd name="T0" fmla="*/ 2147483647 w 80"/>
            <a:gd name="T1" fmla="*/ 0 h 129"/>
            <a:gd name="T2" fmla="*/ 2147483647 w 80"/>
            <a:gd name="T3" fmla="*/ 2147483647 h 129"/>
            <a:gd name="T4" fmla="*/ 2147483647 w 80"/>
            <a:gd name="T5" fmla="*/ 2147483647 h 129"/>
            <a:gd name="T6" fmla="*/ 2147483647 w 80"/>
            <a:gd name="T7" fmla="*/ 2147483647 h 129"/>
            <a:gd name="T8" fmla="*/ 2147483647 w 80"/>
            <a:gd name="T9" fmla="*/ 2147483647 h 129"/>
            <a:gd name="T10" fmla="*/ 2147483647 w 80"/>
            <a:gd name="T11" fmla="*/ 2147483647 h 129"/>
            <a:gd name="T12" fmla="*/ 2147483647 w 80"/>
            <a:gd name="T13" fmla="*/ 2147483647 h 129"/>
            <a:gd name="T14" fmla="*/ 2147483647 w 80"/>
            <a:gd name="T15" fmla="*/ 2147483647 h 129"/>
            <a:gd name="T16" fmla="*/ 2147483647 w 80"/>
            <a:gd name="T17" fmla="*/ 2147483647 h 129"/>
            <a:gd name="T18" fmla="*/ 2147483647 w 80"/>
            <a:gd name="T19" fmla="*/ 2147483647 h 129"/>
            <a:gd name="T20" fmla="*/ 0 60000 65536"/>
            <a:gd name="T21" fmla="*/ 0 60000 65536"/>
            <a:gd name="T22" fmla="*/ 0 60000 65536"/>
            <a:gd name="T23" fmla="*/ 0 60000 65536"/>
            <a:gd name="T24" fmla="*/ 0 60000 65536"/>
            <a:gd name="T25" fmla="*/ 0 60000 65536"/>
            <a:gd name="T26" fmla="*/ 0 60000 65536"/>
            <a:gd name="T27" fmla="*/ 0 60000 65536"/>
            <a:gd name="T28" fmla="*/ 0 60000 65536"/>
            <a:gd name="T29" fmla="*/ 0 60000 65536"/>
            <a:gd name="T30" fmla="*/ 0 w 80"/>
            <a:gd name="T31" fmla="*/ 0 h 129"/>
            <a:gd name="T32" fmla="*/ 80 w 80"/>
            <a:gd name="T33" fmla="*/ 129 h 129"/>
          </a:gdLst>
          <a:ahLst/>
          <a:cxnLst>
            <a:cxn ang="T20">
              <a:pos x="T0" y="T1"/>
            </a:cxn>
            <a:cxn ang="T21">
              <a:pos x="T2" y="T3"/>
            </a:cxn>
            <a:cxn ang="T22">
              <a:pos x="T4" y="T5"/>
            </a:cxn>
            <a:cxn ang="T23">
              <a:pos x="T6" y="T7"/>
            </a:cxn>
            <a:cxn ang="T24">
              <a:pos x="T8" y="T9"/>
            </a:cxn>
            <a:cxn ang="T25">
              <a:pos x="T10" y="T11"/>
            </a:cxn>
            <a:cxn ang="T26">
              <a:pos x="T12" y="T13"/>
            </a:cxn>
            <a:cxn ang="T27">
              <a:pos x="T14" y="T15"/>
            </a:cxn>
            <a:cxn ang="T28">
              <a:pos x="T16" y="T17"/>
            </a:cxn>
            <a:cxn ang="T29">
              <a:pos x="T18" y="T19"/>
            </a:cxn>
          </a:cxnLst>
          <a:rect l="T30" t="T31" r="T32" b="T33"/>
          <a:pathLst>
            <a:path w="80" h="129">
              <a:moveTo>
                <a:pt x="80" y="0"/>
              </a:moveTo>
              <a:cubicBezTo>
                <a:pt x="70" y="1"/>
                <a:pt x="61" y="2"/>
                <a:pt x="54" y="3"/>
              </a:cubicBezTo>
              <a:cubicBezTo>
                <a:pt x="47" y="4"/>
                <a:pt x="45" y="6"/>
                <a:pt x="40" y="8"/>
              </a:cubicBezTo>
              <a:cubicBezTo>
                <a:pt x="35" y="10"/>
                <a:pt x="28" y="14"/>
                <a:pt x="23" y="17"/>
              </a:cubicBezTo>
              <a:cubicBezTo>
                <a:pt x="18" y="20"/>
                <a:pt x="15" y="23"/>
                <a:pt x="12" y="28"/>
              </a:cubicBezTo>
              <a:cubicBezTo>
                <a:pt x="9" y="33"/>
                <a:pt x="5" y="38"/>
                <a:pt x="3" y="44"/>
              </a:cubicBezTo>
              <a:cubicBezTo>
                <a:pt x="1" y="50"/>
                <a:pt x="0" y="58"/>
                <a:pt x="1" y="66"/>
              </a:cubicBezTo>
              <a:cubicBezTo>
                <a:pt x="2" y="74"/>
                <a:pt x="4" y="87"/>
                <a:pt x="8" y="94"/>
              </a:cubicBezTo>
              <a:cubicBezTo>
                <a:pt x="12" y="101"/>
                <a:pt x="15" y="105"/>
                <a:pt x="27" y="111"/>
              </a:cubicBezTo>
              <a:cubicBezTo>
                <a:pt x="39" y="117"/>
                <a:pt x="59" y="123"/>
                <a:pt x="79" y="129"/>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35</xdr:col>
      <xdr:colOff>450850</xdr:colOff>
      <xdr:row>1</xdr:row>
      <xdr:rowOff>152400</xdr:rowOff>
    </xdr:from>
    <xdr:to>
      <xdr:col>36</xdr:col>
      <xdr:colOff>603250</xdr:colOff>
      <xdr:row>9</xdr:row>
      <xdr:rowOff>82550</xdr:rowOff>
    </xdr:to>
    <xdr:sp macro="" textlink="">
      <xdr:nvSpPr>
        <xdr:cNvPr id="553740" name="Freeform 192">
          <a:extLst>
            <a:ext uri="{FF2B5EF4-FFF2-40B4-BE49-F238E27FC236}">
              <a16:creationId xmlns:a16="http://schemas.microsoft.com/office/drawing/2014/main" id="{C53B4E51-E47F-4982-9E8A-32FF1D63E1E4}"/>
            </a:ext>
          </a:extLst>
        </xdr:cNvPr>
        <xdr:cNvSpPr>
          <a:spLocks/>
        </xdr:cNvSpPr>
      </xdr:nvSpPr>
      <xdr:spPr bwMode="auto">
        <a:xfrm flipH="1">
          <a:off x="23018750" y="387350"/>
          <a:ext cx="768350" cy="1200150"/>
        </a:xfrm>
        <a:custGeom>
          <a:avLst/>
          <a:gdLst>
            <a:gd name="T0" fmla="*/ 2147483647 w 80"/>
            <a:gd name="T1" fmla="*/ 0 h 129"/>
            <a:gd name="T2" fmla="*/ 2147483647 w 80"/>
            <a:gd name="T3" fmla="*/ 2147483647 h 129"/>
            <a:gd name="T4" fmla="*/ 2147483647 w 80"/>
            <a:gd name="T5" fmla="*/ 2147483647 h 129"/>
            <a:gd name="T6" fmla="*/ 2147483647 w 80"/>
            <a:gd name="T7" fmla="*/ 2147483647 h 129"/>
            <a:gd name="T8" fmla="*/ 2147483647 w 80"/>
            <a:gd name="T9" fmla="*/ 2147483647 h 129"/>
            <a:gd name="T10" fmla="*/ 2147483647 w 80"/>
            <a:gd name="T11" fmla="*/ 2147483647 h 129"/>
            <a:gd name="T12" fmla="*/ 2147483647 w 80"/>
            <a:gd name="T13" fmla="*/ 2147483647 h 129"/>
            <a:gd name="T14" fmla="*/ 2147483647 w 80"/>
            <a:gd name="T15" fmla="*/ 2147483647 h 129"/>
            <a:gd name="T16" fmla="*/ 2147483647 w 80"/>
            <a:gd name="T17" fmla="*/ 2147483647 h 129"/>
            <a:gd name="T18" fmla="*/ 2147483647 w 80"/>
            <a:gd name="T19" fmla="*/ 2147483647 h 129"/>
            <a:gd name="T20" fmla="*/ 0 60000 65536"/>
            <a:gd name="T21" fmla="*/ 0 60000 65536"/>
            <a:gd name="T22" fmla="*/ 0 60000 65536"/>
            <a:gd name="T23" fmla="*/ 0 60000 65536"/>
            <a:gd name="T24" fmla="*/ 0 60000 65536"/>
            <a:gd name="T25" fmla="*/ 0 60000 65536"/>
            <a:gd name="T26" fmla="*/ 0 60000 65536"/>
            <a:gd name="T27" fmla="*/ 0 60000 65536"/>
            <a:gd name="T28" fmla="*/ 0 60000 65536"/>
            <a:gd name="T29" fmla="*/ 0 60000 65536"/>
            <a:gd name="T30" fmla="*/ 0 w 80"/>
            <a:gd name="T31" fmla="*/ 0 h 129"/>
            <a:gd name="T32" fmla="*/ 80 w 80"/>
            <a:gd name="T33" fmla="*/ 129 h 129"/>
          </a:gdLst>
          <a:ahLst/>
          <a:cxnLst>
            <a:cxn ang="T20">
              <a:pos x="T0" y="T1"/>
            </a:cxn>
            <a:cxn ang="T21">
              <a:pos x="T2" y="T3"/>
            </a:cxn>
            <a:cxn ang="T22">
              <a:pos x="T4" y="T5"/>
            </a:cxn>
            <a:cxn ang="T23">
              <a:pos x="T6" y="T7"/>
            </a:cxn>
            <a:cxn ang="T24">
              <a:pos x="T8" y="T9"/>
            </a:cxn>
            <a:cxn ang="T25">
              <a:pos x="T10" y="T11"/>
            </a:cxn>
            <a:cxn ang="T26">
              <a:pos x="T12" y="T13"/>
            </a:cxn>
            <a:cxn ang="T27">
              <a:pos x="T14" y="T15"/>
            </a:cxn>
            <a:cxn ang="T28">
              <a:pos x="T16" y="T17"/>
            </a:cxn>
            <a:cxn ang="T29">
              <a:pos x="T18" y="T19"/>
            </a:cxn>
          </a:cxnLst>
          <a:rect l="T30" t="T31" r="T32" b="T33"/>
          <a:pathLst>
            <a:path w="80" h="129">
              <a:moveTo>
                <a:pt x="80" y="0"/>
              </a:moveTo>
              <a:cubicBezTo>
                <a:pt x="70" y="1"/>
                <a:pt x="61" y="2"/>
                <a:pt x="54" y="3"/>
              </a:cubicBezTo>
              <a:cubicBezTo>
                <a:pt x="47" y="4"/>
                <a:pt x="45" y="6"/>
                <a:pt x="40" y="8"/>
              </a:cubicBezTo>
              <a:cubicBezTo>
                <a:pt x="35" y="10"/>
                <a:pt x="28" y="14"/>
                <a:pt x="23" y="17"/>
              </a:cubicBezTo>
              <a:cubicBezTo>
                <a:pt x="18" y="20"/>
                <a:pt x="15" y="23"/>
                <a:pt x="12" y="28"/>
              </a:cubicBezTo>
              <a:cubicBezTo>
                <a:pt x="9" y="33"/>
                <a:pt x="5" y="38"/>
                <a:pt x="3" y="44"/>
              </a:cubicBezTo>
              <a:cubicBezTo>
                <a:pt x="1" y="50"/>
                <a:pt x="0" y="58"/>
                <a:pt x="1" y="66"/>
              </a:cubicBezTo>
              <a:cubicBezTo>
                <a:pt x="2" y="74"/>
                <a:pt x="4" y="87"/>
                <a:pt x="8" y="94"/>
              </a:cubicBezTo>
              <a:cubicBezTo>
                <a:pt x="12" y="101"/>
                <a:pt x="15" y="105"/>
                <a:pt x="27" y="111"/>
              </a:cubicBezTo>
              <a:cubicBezTo>
                <a:pt x="39" y="117"/>
                <a:pt x="59" y="123"/>
                <a:pt x="79" y="129"/>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29</xdr:col>
      <xdr:colOff>234950</xdr:colOff>
      <xdr:row>1</xdr:row>
      <xdr:rowOff>139700</xdr:rowOff>
    </xdr:from>
    <xdr:to>
      <xdr:col>31</xdr:col>
      <xdr:colOff>431800</xdr:colOff>
      <xdr:row>15</xdr:row>
      <xdr:rowOff>107950</xdr:rowOff>
    </xdr:to>
    <xdr:sp macro="" textlink="">
      <xdr:nvSpPr>
        <xdr:cNvPr id="553741" name="Freeform 196">
          <a:extLst>
            <a:ext uri="{FF2B5EF4-FFF2-40B4-BE49-F238E27FC236}">
              <a16:creationId xmlns:a16="http://schemas.microsoft.com/office/drawing/2014/main" id="{729AB378-9B16-433D-BB4D-323FD1077F38}"/>
            </a:ext>
          </a:extLst>
        </xdr:cNvPr>
        <xdr:cNvSpPr>
          <a:spLocks/>
        </xdr:cNvSpPr>
      </xdr:nvSpPr>
      <xdr:spPr bwMode="auto">
        <a:xfrm>
          <a:off x="19107150" y="374650"/>
          <a:ext cx="1428750" cy="2190750"/>
        </a:xfrm>
        <a:custGeom>
          <a:avLst/>
          <a:gdLst>
            <a:gd name="T0" fmla="*/ 0 w 149"/>
            <a:gd name="T1" fmla="*/ 2147483647 h 235"/>
            <a:gd name="T2" fmla="*/ 2147483647 w 149"/>
            <a:gd name="T3" fmla="*/ 0 h 235"/>
            <a:gd name="T4" fmla="*/ 2147483647 w 149"/>
            <a:gd name="T5" fmla="*/ 2147483647 h 235"/>
            <a:gd name="T6" fmla="*/ 2147483647 w 149"/>
            <a:gd name="T7" fmla="*/ 2147483647 h 235"/>
            <a:gd name="T8" fmla="*/ 2147483647 w 149"/>
            <a:gd name="T9" fmla="*/ 2147483647 h 235"/>
            <a:gd name="T10" fmla="*/ 2147483647 w 149"/>
            <a:gd name="T11" fmla="*/ 2147483647 h 235"/>
            <a:gd name="T12" fmla="*/ 2147483647 w 149"/>
            <a:gd name="T13" fmla="*/ 2147483647 h 235"/>
            <a:gd name="T14" fmla="*/ 2147483647 w 149"/>
            <a:gd name="T15" fmla="*/ 2147483647 h 235"/>
            <a:gd name="T16" fmla="*/ 2147483647 w 149"/>
            <a:gd name="T17" fmla="*/ 2147483647 h 235"/>
            <a:gd name="T18" fmla="*/ 2147483647 w 149"/>
            <a:gd name="T19" fmla="*/ 2147483647 h 235"/>
            <a:gd name="T20" fmla="*/ 2147483647 w 149"/>
            <a:gd name="T21" fmla="*/ 2147483647 h 235"/>
            <a:gd name="T22" fmla="*/ 2147483647 w 149"/>
            <a:gd name="T23" fmla="*/ 2147483647 h 235"/>
            <a:gd name="T24" fmla="*/ 2147483647 w 149"/>
            <a:gd name="T25" fmla="*/ 2147483647 h 235"/>
            <a:gd name="T26" fmla="*/ 2147483647 w 149"/>
            <a:gd name="T27" fmla="*/ 2147483647 h 235"/>
            <a:gd name="T28" fmla="*/ 2147483647 w 149"/>
            <a:gd name="T29" fmla="*/ 2147483647 h 235"/>
            <a:gd name="T30" fmla="*/ 2147483647 w 149"/>
            <a:gd name="T31" fmla="*/ 2147483647 h 235"/>
            <a:gd name="T32" fmla="*/ 2147483647 w 149"/>
            <a:gd name="T33" fmla="*/ 2147483647 h 235"/>
            <a:gd name="T34" fmla="*/ 2147483647 w 149"/>
            <a:gd name="T35" fmla="*/ 2147483647 h 235"/>
            <a:gd name="T36" fmla="*/ 2147483647 w 149"/>
            <a:gd name="T37" fmla="*/ 2147483647 h 235"/>
            <a:gd name="T38" fmla="*/ 2147483647 w 149"/>
            <a:gd name="T39" fmla="*/ 2147483647 h 235"/>
            <a:gd name="T40" fmla="*/ 2147483647 w 149"/>
            <a:gd name="T41" fmla="*/ 2147483647 h 235"/>
            <a:gd name="T42" fmla="*/ 2147483647 w 149"/>
            <a:gd name="T43" fmla="*/ 2147483647 h 235"/>
            <a:gd name="T44" fmla="*/ 0 60000 65536"/>
            <a:gd name="T45" fmla="*/ 0 60000 65536"/>
            <a:gd name="T46" fmla="*/ 0 60000 65536"/>
            <a:gd name="T47" fmla="*/ 0 60000 65536"/>
            <a:gd name="T48" fmla="*/ 0 60000 65536"/>
            <a:gd name="T49" fmla="*/ 0 60000 65536"/>
            <a:gd name="T50" fmla="*/ 0 60000 65536"/>
            <a:gd name="T51" fmla="*/ 0 60000 65536"/>
            <a:gd name="T52" fmla="*/ 0 60000 65536"/>
            <a:gd name="T53" fmla="*/ 0 60000 65536"/>
            <a:gd name="T54" fmla="*/ 0 60000 65536"/>
            <a:gd name="T55" fmla="*/ 0 60000 65536"/>
            <a:gd name="T56" fmla="*/ 0 60000 65536"/>
            <a:gd name="T57" fmla="*/ 0 60000 65536"/>
            <a:gd name="T58" fmla="*/ 0 60000 65536"/>
            <a:gd name="T59" fmla="*/ 0 60000 65536"/>
            <a:gd name="T60" fmla="*/ 0 60000 65536"/>
            <a:gd name="T61" fmla="*/ 0 60000 65536"/>
            <a:gd name="T62" fmla="*/ 0 60000 65536"/>
            <a:gd name="T63" fmla="*/ 0 60000 65536"/>
            <a:gd name="T64" fmla="*/ 0 60000 65536"/>
            <a:gd name="T65" fmla="*/ 0 60000 65536"/>
            <a:gd name="T66" fmla="*/ 0 w 149"/>
            <a:gd name="T67" fmla="*/ 0 h 235"/>
            <a:gd name="T68" fmla="*/ 149 w 149"/>
            <a:gd name="T69" fmla="*/ 235 h 235"/>
          </a:gdLst>
          <a:ahLst/>
          <a:cxnLst>
            <a:cxn ang="T44">
              <a:pos x="T0" y="T1"/>
            </a:cxn>
            <a:cxn ang="T45">
              <a:pos x="T2" y="T3"/>
            </a:cxn>
            <a:cxn ang="T46">
              <a:pos x="T4" y="T5"/>
            </a:cxn>
            <a:cxn ang="T47">
              <a:pos x="T6" y="T7"/>
            </a:cxn>
            <a:cxn ang="T48">
              <a:pos x="T8" y="T9"/>
            </a:cxn>
            <a:cxn ang="T49">
              <a:pos x="T10" y="T11"/>
            </a:cxn>
            <a:cxn ang="T50">
              <a:pos x="T12" y="T13"/>
            </a:cxn>
            <a:cxn ang="T51">
              <a:pos x="T14" y="T15"/>
            </a:cxn>
            <a:cxn ang="T52">
              <a:pos x="T16" y="T17"/>
            </a:cxn>
            <a:cxn ang="T53">
              <a:pos x="T18" y="T19"/>
            </a:cxn>
            <a:cxn ang="T54">
              <a:pos x="T20" y="T21"/>
            </a:cxn>
            <a:cxn ang="T55">
              <a:pos x="T22" y="T23"/>
            </a:cxn>
            <a:cxn ang="T56">
              <a:pos x="T24" y="T25"/>
            </a:cxn>
            <a:cxn ang="T57">
              <a:pos x="T26" y="T27"/>
            </a:cxn>
            <a:cxn ang="T58">
              <a:pos x="T28" y="T29"/>
            </a:cxn>
            <a:cxn ang="T59">
              <a:pos x="T30" y="T31"/>
            </a:cxn>
            <a:cxn ang="T60">
              <a:pos x="T32" y="T33"/>
            </a:cxn>
            <a:cxn ang="T61">
              <a:pos x="T34" y="T35"/>
            </a:cxn>
            <a:cxn ang="T62">
              <a:pos x="T36" y="T37"/>
            </a:cxn>
            <a:cxn ang="T63">
              <a:pos x="T38" y="T39"/>
            </a:cxn>
            <a:cxn ang="T64">
              <a:pos x="T40" y="T41"/>
            </a:cxn>
            <a:cxn ang="T65">
              <a:pos x="T42" y="T43"/>
            </a:cxn>
          </a:cxnLst>
          <a:rect l="T66" t="T67" r="T68" b="T69"/>
          <a:pathLst>
            <a:path w="149" h="235">
              <a:moveTo>
                <a:pt x="0" y="1"/>
              </a:moveTo>
              <a:cubicBezTo>
                <a:pt x="2" y="0"/>
                <a:pt x="5" y="0"/>
                <a:pt x="10" y="0"/>
              </a:cubicBezTo>
              <a:cubicBezTo>
                <a:pt x="15" y="0"/>
                <a:pt x="24" y="3"/>
                <a:pt x="30" y="4"/>
              </a:cubicBezTo>
              <a:cubicBezTo>
                <a:pt x="36" y="5"/>
                <a:pt x="42" y="6"/>
                <a:pt x="48" y="8"/>
              </a:cubicBezTo>
              <a:cubicBezTo>
                <a:pt x="54" y="10"/>
                <a:pt x="62" y="12"/>
                <a:pt x="68" y="15"/>
              </a:cubicBezTo>
              <a:cubicBezTo>
                <a:pt x="74" y="18"/>
                <a:pt x="80" y="21"/>
                <a:pt x="85" y="24"/>
              </a:cubicBezTo>
              <a:cubicBezTo>
                <a:pt x="90" y="27"/>
                <a:pt x="96" y="31"/>
                <a:pt x="101" y="36"/>
              </a:cubicBezTo>
              <a:cubicBezTo>
                <a:pt x="106" y="41"/>
                <a:pt x="112" y="44"/>
                <a:pt x="118" y="52"/>
              </a:cubicBezTo>
              <a:cubicBezTo>
                <a:pt x="124" y="60"/>
                <a:pt x="132" y="73"/>
                <a:pt x="136" y="82"/>
              </a:cubicBezTo>
              <a:cubicBezTo>
                <a:pt x="140" y="91"/>
                <a:pt x="142" y="98"/>
                <a:pt x="144" y="104"/>
              </a:cubicBezTo>
              <a:cubicBezTo>
                <a:pt x="146" y="110"/>
                <a:pt x="147" y="115"/>
                <a:pt x="148" y="119"/>
              </a:cubicBezTo>
              <a:cubicBezTo>
                <a:pt x="149" y="123"/>
                <a:pt x="149" y="126"/>
                <a:pt x="149" y="131"/>
              </a:cubicBezTo>
              <a:cubicBezTo>
                <a:pt x="149" y="136"/>
                <a:pt x="149" y="142"/>
                <a:pt x="149" y="147"/>
              </a:cubicBezTo>
              <a:cubicBezTo>
                <a:pt x="149" y="152"/>
                <a:pt x="148" y="156"/>
                <a:pt x="147" y="162"/>
              </a:cubicBezTo>
              <a:cubicBezTo>
                <a:pt x="146" y="168"/>
                <a:pt x="147" y="174"/>
                <a:pt x="144" y="182"/>
              </a:cubicBezTo>
              <a:cubicBezTo>
                <a:pt x="141" y="190"/>
                <a:pt x="134" y="205"/>
                <a:pt x="129" y="212"/>
              </a:cubicBezTo>
              <a:cubicBezTo>
                <a:pt x="124" y="219"/>
                <a:pt x="122" y="222"/>
                <a:pt x="116" y="226"/>
              </a:cubicBezTo>
              <a:cubicBezTo>
                <a:pt x="110" y="230"/>
                <a:pt x="98" y="233"/>
                <a:pt x="91" y="234"/>
              </a:cubicBezTo>
              <a:cubicBezTo>
                <a:pt x="84" y="235"/>
                <a:pt x="80" y="233"/>
                <a:pt x="76" y="232"/>
              </a:cubicBezTo>
              <a:cubicBezTo>
                <a:pt x="72" y="231"/>
                <a:pt x="72" y="231"/>
                <a:pt x="66" y="228"/>
              </a:cubicBezTo>
              <a:cubicBezTo>
                <a:pt x="60" y="225"/>
                <a:pt x="50" y="221"/>
                <a:pt x="40" y="213"/>
              </a:cubicBezTo>
              <a:cubicBezTo>
                <a:pt x="30" y="205"/>
                <a:pt x="19" y="192"/>
                <a:pt x="8" y="180"/>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27</xdr:col>
      <xdr:colOff>31750</xdr:colOff>
      <xdr:row>1</xdr:row>
      <xdr:rowOff>139700</xdr:rowOff>
    </xdr:from>
    <xdr:to>
      <xdr:col>29</xdr:col>
      <xdr:colOff>241300</xdr:colOff>
      <xdr:row>15</xdr:row>
      <xdr:rowOff>107950</xdr:rowOff>
    </xdr:to>
    <xdr:sp macro="" textlink="">
      <xdr:nvSpPr>
        <xdr:cNvPr id="553742" name="Freeform 197">
          <a:extLst>
            <a:ext uri="{FF2B5EF4-FFF2-40B4-BE49-F238E27FC236}">
              <a16:creationId xmlns:a16="http://schemas.microsoft.com/office/drawing/2014/main" id="{51A7EB5E-652B-450A-B47D-0AF0C7F85549}"/>
            </a:ext>
          </a:extLst>
        </xdr:cNvPr>
        <xdr:cNvSpPr>
          <a:spLocks/>
        </xdr:cNvSpPr>
      </xdr:nvSpPr>
      <xdr:spPr bwMode="auto">
        <a:xfrm flipH="1">
          <a:off x="17672050" y="374650"/>
          <a:ext cx="1441450" cy="2190750"/>
        </a:xfrm>
        <a:custGeom>
          <a:avLst/>
          <a:gdLst>
            <a:gd name="T0" fmla="*/ 0 w 149"/>
            <a:gd name="T1" fmla="*/ 2147483647 h 235"/>
            <a:gd name="T2" fmla="*/ 2147483647 w 149"/>
            <a:gd name="T3" fmla="*/ 0 h 235"/>
            <a:gd name="T4" fmla="*/ 2147483647 w 149"/>
            <a:gd name="T5" fmla="*/ 2147483647 h 235"/>
            <a:gd name="T6" fmla="*/ 2147483647 w 149"/>
            <a:gd name="T7" fmla="*/ 2147483647 h 235"/>
            <a:gd name="T8" fmla="*/ 2147483647 w 149"/>
            <a:gd name="T9" fmla="*/ 2147483647 h 235"/>
            <a:gd name="T10" fmla="*/ 2147483647 w 149"/>
            <a:gd name="T11" fmla="*/ 2147483647 h 235"/>
            <a:gd name="T12" fmla="*/ 2147483647 w 149"/>
            <a:gd name="T13" fmla="*/ 2147483647 h 235"/>
            <a:gd name="T14" fmla="*/ 2147483647 w 149"/>
            <a:gd name="T15" fmla="*/ 2147483647 h 235"/>
            <a:gd name="T16" fmla="*/ 2147483647 w 149"/>
            <a:gd name="T17" fmla="*/ 2147483647 h 235"/>
            <a:gd name="T18" fmla="*/ 2147483647 w 149"/>
            <a:gd name="T19" fmla="*/ 2147483647 h 235"/>
            <a:gd name="T20" fmla="*/ 2147483647 w 149"/>
            <a:gd name="T21" fmla="*/ 2147483647 h 235"/>
            <a:gd name="T22" fmla="*/ 2147483647 w 149"/>
            <a:gd name="T23" fmla="*/ 2147483647 h 235"/>
            <a:gd name="T24" fmla="*/ 2147483647 w 149"/>
            <a:gd name="T25" fmla="*/ 2147483647 h 235"/>
            <a:gd name="T26" fmla="*/ 2147483647 w 149"/>
            <a:gd name="T27" fmla="*/ 2147483647 h 235"/>
            <a:gd name="T28" fmla="*/ 2147483647 w 149"/>
            <a:gd name="T29" fmla="*/ 2147483647 h 235"/>
            <a:gd name="T30" fmla="*/ 2147483647 w 149"/>
            <a:gd name="T31" fmla="*/ 2147483647 h 235"/>
            <a:gd name="T32" fmla="*/ 2147483647 w 149"/>
            <a:gd name="T33" fmla="*/ 2147483647 h 235"/>
            <a:gd name="T34" fmla="*/ 2147483647 w 149"/>
            <a:gd name="T35" fmla="*/ 2147483647 h 235"/>
            <a:gd name="T36" fmla="*/ 2147483647 w 149"/>
            <a:gd name="T37" fmla="*/ 2147483647 h 235"/>
            <a:gd name="T38" fmla="*/ 2147483647 w 149"/>
            <a:gd name="T39" fmla="*/ 2147483647 h 235"/>
            <a:gd name="T40" fmla="*/ 2147483647 w 149"/>
            <a:gd name="T41" fmla="*/ 2147483647 h 235"/>
            <a:gd name="T42" fmla="*/ 2147483647 w 149"/>
            <a:gd name="T43" fmla="*/ 2147483647 h 235"/>
            <a:gd name="T44" fmla="*/ 0 60000 65536"/>
            <a:gd name="T45" fmla="*/ 0 60000 65536"/>
            <a:gd name="T46" fmla="*/ 0 60000 65536"/>
            <a:gd name="T47" fmla="*/ 0 60000 65536"/>
            <a:gd name="T48" fmla="*/ 0 60000 65536"/>
            <a:gd name="T49" fmla="*/ 0 60000 65536"/>
            <a:gd name="T50" fmla="*/ 0 60000 65536"/>
            <a:gd name="T51" fmla="*/ 0 60000 65536"/>
            <a:gd name="T52" fmla="*/ 0 60000 65536"/>
            <a:gd name="T53" fmla="*/ 0 60000 65536"/>
            <a:gd name="T54" fmla="*/ 0 60000 65536"/>
            <a:gd name="T55" fmla="*/ 0 60000 65536"/>
            <a:gd name="T56" fmla="*/ 0 60000 65536"/>
            <a:gd name="T57" fmla="*/ 0 60000 65536"/>
            <a:gd name="T58" fmla="*/ 0 60000 65536"/>
            <a:gd name="T59" fmla="*/ 0 60000 65536"/>
            <a:gd name="T60" fmla="*/ 0 60000 65536"/>
            <a:gd name="T61" fmla="*/ 0 60000 65536"/>
            <a:gd name="T62" fmla="*/ 0 60000 65536"/>
            <a:gd name="T63" fmla="*/ 0 60000 65536"/>
            <a:gd name="T64" fmla="*/ 0 60000 65536"/>
            <a:gd name="T65" fmla="*/ 0 60000 65536"/>
            <a:gd name="T66" fmla="*/ 0 w 149"/>
            <a:gd name="T67" fmla="*/ 0 h 235"/>
            <a:gd name="T68" fmla="*/ 149 w 149"/>
            <a:gd name="T69" fmla="*/ 235 h 235"/>
          </a:gdLst>
          <a:ahLst/>
          <a:cxnLst>
            <a:cxn ang="T44">
              <a:pos x="T0" y="T1"/>
            </a:cxn>
            <a:cxn ang="T45">
              <a:pos x="T2" y="T3"/>
            </a:cxn>
            <a:cxn ang="T46">
              <a:pos x="T4" y="T5"/>
            </a:cxn>
            <a:cxn ang="T47">
              <a:pos x="T6" y="T7"/>
            </a:cxn>
            <a:cxn ang="T48">
              <a:pos x="T8" y="T9"/>
            </a:cxn>
            <a:cxn ang="T49">
              <a:pos x="T10" y="T11"/>
            </a:cxn>
            <a:cxn ang="T50">
              <a:pos x="T12" y="T13"/>
            </a:cxn>
            <a:cxn ang="T51">
              <a:pos x="T14" y="T15"/>
            </a:cxn>
            <a:cxn ang="T52">
              <a:pos x="T16" y="T17"/>
            </a:cxn>
            <a:cxn ang="T53">
              <a:pos x="T18" y="T19"/>
            </a:cxn>
            <a:cxn ang="T54">
              <a:pos x="T20" y="T21"/>
            </a:cxn>
            <a:cxn ang="T55">
              <a:pos x="T22" y="T23"/>
            </a:cxn>
            <a:cxn ang="T56">
              <a:pos x="T24" y="T25"/>
            </a:cxn>
            <a:cxn ang="T57">
              <a:pos x="T26" y="T27"/>
            </a:cxn>
            <a:cxn ang="T58">
              <a:pos x="T28" y="T29"/>
            </a:cxn>
            <a:cxn ang="T59">
              <a:pos x="T30" y="T31"/>
            </a:cxn>
            <a:cxn ang="T60">
              <a:pos x="T32" y="T33"/>
            </a:cxn>
            <a:cxn ang="T61">
              <a:pos x="T34" y="T35"/>
            </a:cxn>
            <a:cxn ang="T62">
              <a:pos x="T36" y="T37"/>
            </a:cxn>
            <a:cxn ang="T63">
              <a:pos x="T38" y="T39"/>
            </a:cxn>
            <a:cxn ang="T64">
              <a:pos x="T40" y="T41"/>
            </a:cxn>
            <a:cxn ang="T65">
              <a:pos x="T42" y="T43"/>
            </a:cxn>
          </a:cxnLst>
          <a:rect l="T66" t="T67" r="T68" b="T69"/>
          <a:pathLst>
            <a:path w="149" h="235">
              <a:moveTo>
                <a:pt x="0" y="1"/>
              </a:moveTo>
              <a:cubicBezTo>
                <a:pt x="2" y="0"/>
                <a:pt x="5" y="0"/>
                <a:pt x="10" y="0"/>
              </a:cubicBezTo>
              <a:cubicBezTo>
                <a:pt x="15" y="0"/>
                <a:pt x="24" y="3"/>
                <a:pt x="30" y="4"/>
              </a:cubicBezTo>
              <a:cubicBezTo>
                <a:pt x="36" y="5"/>
                <a:pt x="42" y="6"/>
                <a:pt x="48" y="8"/>
              </a:cubicBezTo>
              <a:cubicBezTo>
                <a:pt x="54" y="10"/>
                <a:pt x="62" y="12"/>
                <a:pt x="68" y="15"/>
              </a:cubicBezTo>
              <a:cubicBezTo>
                <a:pt x="74" y="18"/>
                <a:pt x="80" y="21"/>
                <a:pt x="85" y="24"/>
              </a:cubicBezTo>
              <a:cubicBezTo>
                <a:pt x="90" y="27"/>
                <a:pt x="96" y="31"/>
                <a:pt x="101" y="36"/>
              </a:cubicBezTo>
              <a:cubicBezTo>
                <a:pt x="106" y="41"/>
                <a:pt x="112" y="44"/>
                <a:pt x="118" y="52"/>
              </a:cubicBezTo>
              <a:cubicBezTo>
                <a:pt x="124" y="60"/>
                <a:pt x="132" y="73"/>
                <a:pt x="136" y="82"/>
              </a:cubicBezTo>
              <a:cubicBezTo>
                <a:pt x="140" y="91"/>
                <a:pt x="142" y="98"/>
                <a:pt x="144" y="104"/>
              </a:cubicBezTo>
              <a:cubicBezTo>
                <a:pt x="146" y="110"/>
                <a:pt x="147" y="115"/>
                <a:pt x="148" y="119"/>
              </a:cubicBezTo>
              <a:cubicBezTo>
                <a:pt x="149" y="123"/>
                <a:pt x="149" y="126"/>
                <a:pt x="149" y="131"/>
              </a:cubicBezTo>
              <a:cubicBezTo>
                <a:pt x="149" y="136"/>
                <a:pt x="149" y="142"/>
                <a:pt x="149" y="147"/>
              </a:cubicBezTo>
              <a:cubicBezTo>
                <a:pt x="149" y="152"/>
                <a:pt x="148" y="156"/>
                <a:pt x="147" y="162"/>
              </a:cubicBezTo>
              <a:cubicBezTo>
                <a:pt x="146" y="168"/>
                <a:pt x="147" y="174"/>
                <a:pt x="144" y="182"/>
              </a:cubicBezTo>
              <a:cubicBezTo>
                <a:pt x="141" y="190"/>
                <a:pt x="134" y="205"/>
                <a:pt x="129" y="212"/>
              </a:cubicBezTo>
              <a:cubicBezTo>
                <a:pt x="124" y="219"/>
                <a:pt x="122" y="222"/>
                <a:pt x="116" y="226"/>
              </a:cubicBezTo>
              <a:cubicBezTo>
                <a:pt x="110" y="230"/>
                <a:pt x="98" y="233"/>
                <a:pt x="91" y="234"/>
              </a:cubicBezTo>
              <a:cubicBezTo>
                <a:pt x="84" y="235"/>
                <a:pt x="80" y="233"/>
                <a:pt x="76" y="232"/>
              </a:cubicBezTo>
              <a:cubicBezTo>
                <a:pt x="72" y="231"/>
                <a:pt x="72" y="231"/>
                <a:pt x="66" y="228"/>
              </a:cubicBezTo>
              <a:cubicBezTo>
                <a:pt x="60" y="225"/>
                <a:pt x="50" y="221"/>
                <a:pt x="40" y="213"/>
              </a:cubicBezTo>
              <a:cubicBezTo>
                <a:pt x="30" y="205"/>
                <a:pt x="19" y="192"/>
                <a:pt x="8" y="180"/>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30</xdr:col>
      <xdr:colOff>142875</xdr:colOff>
      <xdr:row>1</xdr:row>
      <xdr:rowOff>104775</xdr:rowOff>
    </xdr:from>
    <xdr:ext cx="1028035" cy="171073"/>
    <xdr:sp macro="" textlink="">
      <xdr:nvSpPr>
        <xdr:cNvPr id="10438" name="Text Box 198">
          <a:extLst>
            <a:ext uri="{FF2B5EF4-FFF2-40B4-BE49-F238E27FC236}">
              <a16:creationId xmlns:a16="http://schemas.microsoft.com/office/drawing/2014/main" id="{301CFBC7-B9E5-4EFD-A137-1AEC53417483}"/>
            </a:ext>
          </a:extLst>
        </xdr:cNvPr>
        <xdr:cNvSpPr txBox="1">
          <a:spLocks noChangeArrowheads="1"/>
        </xdr:cNvSpPr>
      </xdr:nvSpPr>
      <xdr:spPr bwMode="auto">
        <a:xfrm>
          <a:off x="21453475" y="333375"/>
          <a:ext cx="987720"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u="none" strike="noStrike" baseline="0">
              <a:solidFill>
                <a:srgbClr val="FF00FF"/>
              </a:solidFill>
              <a:latin typeface="Arial"/>
              <a:ea typeface="Arial"/>
              <a:cs typeface="Arial"/>
            </a:rPr>
            <a:t>Measured RHCP</a:t>
          </a:r>
        </a:p>
      </xdr:txBody>
    </xdr:sp>
    <xdr:clientData/>
  </xdr:oneCellAnchor>
  <xdr:twoCellAnchor>
    <xdr:from>
      <xdr:col>29</xdr:col>
      <xdr:colOff>254000</xdr:colOff>
      <xdr:row>10</xdr:row>
      <xdr:rowOff>25400</xdr:rowOff>
    </xdr:from>
    <xdr:to>
      <xdr:col>30</xdr:col>
      <xdr:colOff>31750</xdr:colOff>
      <xdr:row>12</xdr:row>
      <xdr:rowOff>63500</xdr:rowOff>
    </xdr:to>
    <xdr:sp macro="" textlink="">
      <xdr:nvSpPr>
        <xdr:cNvPr id="553744" name="Freeform 199">
          <a:extLst>
            <a:ext uri="{FF2B5EF4-FFF2-40B4-BE49-F238E27FC236}">
              <a16:creationId xmlns:a16="http://schemas.microsoft.com/office/drawing/2014/main" id="{DB340523-3955-46AC-87EC-B64E310D6084}"/>
            </a:ext>
          </a:extLst>
        </xdr:cNvPr>
        <xdr:cNvSpPr>
          <a:spLocks/>
        </xdr:cNvSpPr>
      </xdr:nvSpPr>
      <xdr:spPr bwMode="auto">
        <a:xfrm>
          <a:off x="19126200" y="1689100"/>
          <a:ext cx="393700" cy="355600"/>
        </a:xfrm>
        <a:custGeom>
          <a:avLst/>
          <a:gdLst>
            <a:gd name="T0" fmla="*/ 0 w 41"/>
            <a:gd name="T1" fmla="*/ 2147483647 h 38"/>
            <a:gd name="T2" fmla="*/ 2147483647 w 41"/>
            <a:gd name="T3" fmla="*/ 2147483647 h 38"/>
            <a:gd name="T4" fmla="*/ 2147483647 w 41"/>
            <a:gd name="T5" fmla="*/ 0 h 38"/>
            <a:gd name="T6" fmla="*/ 2147483647 w 41"/>
            <a:gd name="T7" fmla="*/ 2147483647 h 38"/>
            <a:gd name="T8" fmla="*/ 2147483647 w 41"/>
            <a:gd name="T9" fmla="*/ 2147483647 h 38"/>
            <a:gd name="T10" fmla="*/ 2147483647 w 41"/>
            <a:gd name="T11" fmla="*/ 2147483647 h 38"/>
            <a:gd name="T12" fmla="*/ 2147483647 w 41"/>
            <a:gd name="T13" fmla="*/ 2147483647 h 38"/>
            <a:gd name="T14" fmla="*/ 2147483647 w 41"/>
            <a:gd name="T15" fmla="*/ 2147483647 h 38"/>
            <a:gd name="T16" fmla="*/ 0 60000 65536"/>
            <a:gd name="T17" fmla="*/ 0 60000 65536"/>
            <a:gd name="T18" fmla="*/ 0 60000 65536"/>
            <a:gd name="T19" fmla="*/ 0 60000 65536"/>
            <a:gd name="T20" fmla="*/ 0 60000 65536"/>
            <a:gd name="T21" fmla="*/ 0 60000 65536"/>
            <a:gd name="T22" fmla="*/ 0 60000 65536"/>
            <a:gd name="T23" fmla="*/ 0 60000 65536"/>
            <a:gd name="T24" fmla="*/ 0 w 41"/>
            <a:gd name="T25" fmla="*/ 0 h 38"/>
            <a:gd name="T26" fmla="*/ 41 w 41"/>
            <a:gd name="T27" fmla="*/ 38 h 38"/>
          </a:gdLst>
          <a:ahLst/>
          <a:cxnLst>
            <a:cxn ang="T16">
              <a:pos x="T0" y="T1"/>
            </a:cxn>
            <a:cxn ang="T17">
              <a:pos x="T2" y="T3"/>
            </a:cxn>
            <a:cxn ang="T18">
              <a:pos x="T4" y="T5"/>
            </a:cxn>
            <a:cxn ang="T19">
              <a:pos x="T6" y="T7"/>
            </a:cxn>
            <a:cxn ang="T20">
              <a:pos x="T8" y="T9"/>
            </a:cxn>
            <a:cxn ang="T21">
              <a:pos x="T10" y="T11"/>
            </a:cxn>
            <a:cxn ang="T22">
              <a:pos x="T12" y="T13"/>
            </a:cxn>
            <a:cxn ang="T23">
              <a:pos x="T14" y="T15"/>
            </a:cxn>
          </a:cxnLst>
          <a:rect l="T24" t="T25" r="T26" b="T27"/>
          <a:pathLst>
            <a:path w="41" h="38">
              <a:moveTo>
                <a:pt x="0" y="32"/>
              </a:moveTo>
              <a:cubicBezTo>
                <a:pt x="2" y="24"/>
                <a:pt x="5" y="17"/>
                <a:pt x="9" y="12"/>
              </a:cubicBezTo>
              <a:cubicBezTo>
                <a:pt x="13" y="7"/>
                <a:pt x="22" y="0"/>
                <a:pt x="27" y="0"/>
              </a:cubicBezTo>
              <a:cubicBezTo>
                <a:pt x="32" y="0"/>
                <a:pt x="37" y="7"/>
                <a:pt x="39" y="12"/>
              </a:cubicBezTo>
              <a:cubicBezTo>
                <a:pt x="41" y="17"/>
                <a:pt x="39" y="25"/>
                <a:pt x="37" y="29"/>
              </a:cubicBezTo>
              <a:cubicBezTo>
                <a:pt x="35" y="33"/>
                <a:pt x="32" y="33"/>
                <a:pt x="29" y="34"/>
              </a:cubicBezTo>
              <a:cubicBezTo>
                <a:pt x="26" y="35"/>
                <a:pt x="26" y="34"/>
                <a:pt x="21" y="35"/>
              </a:cubicBezTo>
              <a:cubicBezTo>
                <a:pt x="16" y="36"/>
                <a:pt x="5" y="37"/>
                <a:pt x="1" y="38"/>
              </a:cubicBezTo>
            </a:path>
          </a:pathLst>
        </a:custGeom>
        <a:noFill/>
        <a:ln w="9525">
          <a:solidFill>
            <a:srgbClr val="FFCC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28</xdr:col>
      <xdr:colOff>450850</xdr:colOff>
      <xdr:row>10</xdr:row>
      <xdr:rowOff>25400</xdr:rowOff>
    </xdr:from>
    <xdr:to>
      <xdr:col>29</xdr:col>
      <xdr:colOff>234950</xdr:colOff>
      <xdr:row>12</xdr:row>
      <xdr:rowOff>63500</xdr:rowOff>
    </xdr:to>
    <xdr:sp macro="" textlink="">
      <xdr:nvSpPr>
        <xdr:cNvPr id="553745" name="Freeform 200">
          <a:extLst>
            <a:ext uri="{FF2B5EF4-FFF2-40B4-BE49-F238E27FC236}">
              <a16:creationId xmlns:a16="http://schemas.microsoft.com/office/drawing/2014/main" id="{D550AD68-765E-43E4-83A5-7CC985C90FAE}"/>
            </a:ext>
          </a:extLst>
        </xdr:cNvPr>
        <xdr:cNvSpPr>
          <a:spLocks/>
        </xdr:cNvSpPr>
      </xdr:nvSpPr>
      <xdr:spPr bwMode="auto">
        <a:xfrm flipH="1">
          <a:off x="18707100" y="1689100"/>
          <a:ext cx="400050" cy="355600"/>
        </a:xfrm>
        <a:custGeom>
          <a:avLst/>
          <a:gdLst>
            <a:gd name="T0" fmla="*/ 0 w 41"/>
            <a:gd name="T1" fmla="*/ 2147483647 h 38"/>
            <a:gd name="T2" fmla="*/ 2147483647 w 41"/>
            <a:gd name="T3" fmla="*/ 2147483647 h 38"/>
            <a:gd name="T4" fmla="*/ 2147483647 w 41"/>
            <a:gd name="T5" fmla="*/ 0 h 38"/>
            <a:gd name="T6" fmla="*/ 2147483647 w 41"/>
            <a:gd name="T7" fmla="*/ 2147483647 h 38"/>
            <a:gd name="T8" fmla="*/ 2147483647 w 41"/>
            <a:gd name="T9" fmla="*/ 2147483647 h 38"/>
            <a:gd name="T10" fmla="*/ 2147483647 w 41"/>
            <a:gd name="T11" fmla="*/ 2147483647 h 38"/>
            <a:gd name="T12" fmla="*/ 2147483647 w 41"/>
            <a:gd name="T13" fmla="*/ 2147483647 h 38"/>
            <a:gd name="T14" fmla="*/ 2147483647 w 41"/>
            <a:gd name="T15" fmla="*/ 2147483647 h 38"/>
            <a:gd name="T16" fmla="*/ 0 60000 65536"/>
            <a:gd name="T17" fmla="*/ 0 60000 65536"/>
            <a:gd name="T18" fmla="*/ 0 60000 65536"/>
            <a:gd name="T19" fmla="*/ 0 60000 65536"/>
            <a:gd name="T20" fmla="*/ 0 60000 65536"/>
            <a:gd name="T21" fmla="*/ 0 60000 65536"/>
            <a:gd name="T22" fmla="*/ 0 60000 65536"/>
            <a:gd name="T23" fmla="*/ 0 60000 65536"/>
            <a:gd name="T24" fmla="*/ 0 w 41"/>
            <a:gd name="T25" fmla="*/ 0 h 38"/>
            <a:gd name="T26" fmla="*/ 41 w 41"/>
            <a:gd name="T27" fmla="*/ 38 h 38"/>
          </a:gdLst>
          <a:ahLst/>
          <a:cxnLst>
            <a:cxn ang="T16">
              <a:pos x="T0" y="T1"/>
            </a:cxn>
            <a:cxn ang="T17">
              <a:pos x="T2" y="T3"/>
            </a:cxn>
            <a:cxn ang="T18">
              <a:pos x="T4" y="T5"/>
            </a:cxn>
            <a:cxn ang="T19">
              <a:pos x="T6" y="T7"/>
            </a:cxn>
            <a:cxn ang="T20">
              <a:pos x="T8" y="T9"/>
            </a:cxn>
            <a:cxn ang="T21">
              <a:pos x="T10" y="T11"/>
            </a:cxn>
            <a:cxn ang="T22">
              <a:pos x="T12" y="T13"/>
            </a:cxn>
            <a:cxn ang="T23">
              <a:pos x="T14" y="T15"/>
            </a:cxn>
          </a:cxnLst>
          <a:rect l="T24" t="T25" r="T26" b="T27"/>
          <a:pathLst>
            <a:path w="41" h="38">
              <a:moveTo>
                <a:pt x="0" y="32"/>
              </a:moveTo>
              <a:cubicBezTo>
                <a:pt x="2" y="24"/>
                <a:pt x="5" y="17"/>
                <a:pt x="9" y="12"/>
              </a:cubicBezTo>
              <a:cubicBezTo>
                <a:pt x="13" y="7"/>
                <a:pt x="22" y="0"/>
                <a:pt x="27" y="0"/>
              </a:cubicBezTo>
              <a:cubicBezTo>
                <a:pt x="32" y="0"/>
                <a:pt x="37" y="7"/>
                <a:pt x="39" y="12"/>
              </a:cubicBezTo>
              <a:cubicBezTo>
                <a:pt x="41" y="17"/>
                <a:pt x="39" y="25"/>
                <a:pt x="37" y="29"/>
              </a:cubicBezTo>
              <a:cubicBezTo>
                <a:pt x="35" y="33"/>
                <a:pt x="32" y="33"/>
                <a:pt x="29" y="34"/>
              </a:cubicBezTo>
              <a:cubicBezTo>
                <a:pt x="26" y="35"/>
                <a:pt x="26" y="34"/>
                <a:pt x="21" y="35"/>
              </a:cubicBezTo>
              <a:cubicBezTo>
                <a:pt x="16" y="36"/>
                <a:pt x="5" y="37"/>
                <a:pt x="1" y="38"/>
              </a:cubicBezTo>
            </a:path>
          </a:pathLst>
        </a:custGeom>
        <a:noFill/>
        <a:ln w="9525">
          <a:solidFill>
            <a:srgbClr val="FFCC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29</xdr:col>
      <xdr:colOff>69850</xdr:colOff>
      <xdr:row>12</xdr:row>
      <xdr:rowOff>63500</xdr:rowOff>
    </xdr:from>
    <xdr:to>
      <xdr:col>29</xdr:col>
      <xdr:colOff>374650</xdr:colOff>
      <xdr:row>14</xdr:row>
      <xdr:rowOff>82550</xdr:rowOff>
    </xdr:to>
    <xdr:sp macro="" textlink="">
      <xdr:nvSpPr>
        <xdr:cNvPr id="553746" name="Freeform 201">
          <a:extLst>
            <a:ext uri="{FF2B5EF4-FFF2-40B4-BE49-F238E27FC236}">
              <a16:creationId xmlns:a16="http://schemas.microsoft.com/office/drawing/2014/main" id="{F4EBF7FB-F4F3-477E-81F7-C26FBB1D3413}"/>
            </a:ext>
          </a:extLst>
        </xdr:cNvPr>
        <xdr:cNvSpPr>
          <a:spLocks/>
        </xdr:cNvSpPr>
      </xdr:nvSpPr>
      <xdr:spPr bwMode="auto">
        <a:xfrm>
          <a:off x="18942050" y="2044700"/>
          <a:ext cx="304800" cy="336550"/>
        </a:xfrm>
        <a:custGeom>
          <a:avLst/>
          <a:gdLst>
            <a:gd name="T0" fmla="*/ 2147483647 w 32"/>
            <a:gd name="T1" fmla="*/ 2147483647 h 36"/>
            <a:gd name="T2" fmla="*/ 2147483647 w 32"/>
            <a:gd name="T3" fmla="*/ 2147483647 h 36"/>
            <a:gd name="T4" fmla="*/ 2147483647 w 32"/>
            <a:gd name="T5" fmla="*/ 2147483647 h 36"/>
            <a:gd name="T6" fmla="*/ 2147483647 w 32"/>
            <a:gd name="T7" fmla="*/ 2147483647 h 36"/>
            <a:gd name="T8" fmla="*/ 2147483647 w 32"/>
            <a:gd name="T9" fmla="*/ 2147483647 h 36"/>
            <a:gd name="T10" fmla="*/ 0 w 32"/>
            <a:gd name="T11" fmla="*/ 2147483647 h 36"/>
            <a:gd name="T12" fmla="*/ 2147483647 w 32"/>
            <a:gd name="T13" fmla="*/ 2147483647 h 36"/>
            <a:gd name="T14" fmla="*/ 2147483647 w 32"/>
            <a:gd name="T15" fmla="*/ 2147483647 h 36"/>
            <a:gd name="T16" fmla="*/ 0 60000 65536"/>
            <a:gd name="T17" fmla="*/ 0 60000 65536"/>
            <a:gd name="T18" fmla="*/ 0 60000 65536"/>
            <a:gd name="T19" fmla="*/ 0 60000 65536"/>
            <a:gd name="T20" fmla="*/ 0 60000 65536"/>
            <a:gd name="T21" fmla="*/ 0 60000 65536"/>
            <a:gd name="T22" fmla="*/ 0 60000 65536"/>
            <a:gd name="T23" fmla="*/ 0 60000 65536"/>
            <a:gd name="T24" fmla="*/ 0 w 32"/>
            <a:gd name="T25" fmla="*/ 0 h 36"/>
            <a:gd name="T26" fmla="*/ 32 w 32"/>
            <a:gd name="T27" fmla="*/ 36 h 36"/>
          </a:gdLst>
          <a:ahLst/>
          <a:cxnLst>
            <a:cxn ang="T16">
              <a:pos x="T0" y="T1"/>
            </a:cxn>
            <a:cxn ang="T17">
              <a:pos x="T2" y="T3"/>
            </a:cxn>
            <a:cxn ang="T18">
              <a:pos x="T4" y="T5"/>
            </a:cxn>
            <a:cxn ang="T19">
              <a:pos x="T6" y="T7"/>
            </a:cxn>
            <a:cxn ang="T20">
              <a:pos x="T8" y="T9"/>
            </a:cxn>
            <a:cxn ang="T21">
              <a:pos x="T10" y="T11"/>
            </a:cxn>
            <a:cxn ang="T22">
              <a:pos x="T12" y="T13"/>
            </a:cxn>
            <a:cxn ang="T23">
              <a:pos x="T14" y="T15"/>
            </a:cxn>
          </a:cxnLst>
          <a:rect l="T24" t="T25" r="T26" b="T27"/>
          <a:pathLst>
            <a:path w="32" h="36">
              <a:moveTo>
                <a:pt x="18" y="1"/>
              </a:moveTo>
              <a:cubicBezTo>
                <a:pt x="22" y="2"/>
                <a:pt x="30" y="7"/>
                <a:pt x="31" y="12"/>
              </a:cubicBezTo>
              <a:cubicBezTo>
                <a:pt x="32" y="17"/>
                <a:pt x="29" y="27"/>
                <a:pt x="27" y="31"/>
              </a:cubicBezTo>
              <a:cubicBezTo>
                <a:pt x="25" y="35"/>
                <a:pt x="21" y="35"/>
                <a:pt x="17" y="35"/>
              </a:cubicBezTo>
              <a:cubicBezTo>
                <a:pt x="13" y="35"/>
                <a:pt x="7" y="36"/>
                <a:pt x="4" y="33"/>
              </a:cubicBezTo>
              <a:cubicBezTo>
                <a:pt x="1" y="30"/>
                <a:pt x="0" y="22"/>
                <a:pt x="0" y="18"/>
              </a:cubicBezTo>
              <a:cubicBezTo>
                <a:pt x="0" y="14"/>
                <a:pt x="3" y="9"/>
                <a:pt x="6" y="6"/>
              </a:cubicBezTo>
              <a:cubicBezTo>
                <a:pt x="9" y="3"/>
                <a:pt x="14" y="0"/>
                <a:pt x="18" y="1"/>
              </a:cubicBezTo>
              <a:close/>
            </a:path>
          </a:pathLst>
        </a:custGeom>
        <a:noFill/>
        <a:ln w="9525">
          <a:solidFill>
            <a:srgbClr val="FFCC00"/>
          </a:solidFill>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30</xdr:col>
      <xdr:colOff>82550</xdr:colOff>
      <xdr:row>18</xdr:row>
      <xdr:rowOff>9525</xdr:rowOff>
    </xdr:from>
    <xdr:ext cx="1054840" cy="324844"/>
    <xdr:sp macro="" textlink="">
      <xdr:nvSpPr>
        <xdr:cNvPr id="10442" name="Text Box 202">
          <a:extLst>
            <a:ext uri="{FF2B5EF4-FFF2-40B4-BE49-F238E27FC236}">
              <a16:creationId xmlns:a16="http://schemas.microsoft.com/office/drawing/2014/main" id="{B680A967-0F5F-453C-BF63-7277FEB46C7C}"/>
            </a:ext>
          </a:extLst>
        </xdr:cNvPr>
        <xdr:cNvSpPr txBox="1">
          <a:spLocks noChangeArrowheads="1"/>
        </xdr:cNvSpPr>
      </xdr:nvSpPr>
      <xdr:spPr bwMode="auto">
        <a:xfrm>
          <a:off x="21386800" y="2828925"/>
          <a:ext cx="1009010" cy="3308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FF9900"/>
              </a:solidFill>
              <a:latin typeface="Arial"/>
              <a:cs typeface="Arial"/>
            </a:rPr>
            <a:t>Measured</a:t>
          </a:r>
          <a:r>
            <a:rPr lang="en-US" sz="1000" b="0" i="0" strike="noStrike">
              <a:solidFill>
                <a:srgbClr val="000000"/>
              </a:solidFill>
              <a:latin typeface="Arial"/>
              <a:cs typeface="Arial"/>
            </a:rPr>
            <a:t> </a:t>
          </a:r>
          <a:r>
            <a:rPr lang="en-US" sz="1000" b="0" i="0" strike="noStrike">
              <a:solidFill>
                <a:srgbClr val="FF9900"/>
              </a:solidFill>
              <a:latin typeface="Arial"/>
              <a:cs typeface="Arial"/>
            </a:rPr>
            <a:t>LHCP</a:t>
          </a:r>
          <a:endParaRPr lang="en-US" sz="1000" b="0" i="0" strike="noStrike">
            <a:solidFill>
              <a:srgbClr val="000000"/>
            </a:solidFill>
            <a:latin typeface="Arial"/>
            <a:cs typeface="Arial"/>
          </a:endParaRPr>
        </a:p>
        <a:p>
          <a:pPr algn="l" rtl="1">
            <a:defRPr sz="1000"/>
          </a:pPr>
          <a:r>
            <a:rPr lang="en-US" sz="1000" b="0" i="0" strike="noStrike">
              <a:solidFill>
                <a:srgbClr val="FF9900"/>
              </a:solidFill>
              <a:latin typeface="Arial"/>
              <a:cs typeface="Arial"/>
            </a:rPr>
            <a:t>(Cross</a:t>
          </a:r>
          <a:r>
            <a:rPr lang="en-US" sz="1000" b="0" i="0" strike="noStrike">
              <a:solidFill>
                <a:srgbClr val="000000"/>
              </a:solidFill>
              <a:latin typeface="Arial"/>
              <a:cs typeface="Arial"/>
            </a:rPr>
            <a:t> </a:t>
          </a:r>
          <a:r>
            <a:rPr lang="en-US" sz="1000" b="0" i="0" strike="noStrike">
              <a:solidFill>
                <a:srgbClr val="FF9900"/>
              </a:solidFill>
              <a:latin typeface="Arial"/>
              <a:cs typeface="Arial"/>
            </a:rPr>
            <a:t>Polarized)</a:t>
          </a:r>
        </a:p>
      </xdr:txBody>
    </xdr:sp>
    <xdr:clientData/>
  </xdr:oneCellAnchor>
  <xdr:twoCellAnchor>
    <xdr:from>
      <xdr:col>29</xdr:col>
      <xdr:colOff>292100</xdr:colOff>
      <xdr:row>14</xdr:row>
      <xdr:rowOff>82550</xdr:rowOff>
    </xdr:from>
    <xdr:to>
      <xdr:col>30</xdr:col>
      <xdr:colOff>101600</xdr:colOff>
      <xdr:row>18</xdr:row>
      <xdr:rowOff>12700</xdr:rowOff>
    </xdr:to>
    <xdr:sp macro="" textlink="">
      <xdr:nvSpPr>
        <xdr:cNvPr id="553748" name="Line 203">
          <a:extLst>
            <a:ext uri="{FF2B5EF4-FFF2-40B4-BE49-F238E27FC236}">
              <a16:creationId xmlns:a16="http://schemas.microsoft.com/office/drawing/2014/main" id="{0296F7DA-4E7C-4503-9267-431F39E14B2A}"/>
            </a:ext>
          </a:extLst>
        </xdr:cNvPr>
        <xdr:cNvSpPr>
          <a:spLocks noChangeShapeType="1"/>
        </xdr:cNvSpPr>
      </xdr:nvSpPr>
      <xdr:spPr bwMode="auto">
        <a:xfrm flipH="1" flipV="1">
          <a:off x="19164300" y="2381250"/>
          <a:ext cx="425450" cy="565150"/>
        </a:xfrm>
        <a:prstGeom prst="line">
          <a:avLst/>
        </a:prstGeom>
        <a:noFill/>
        <a:ln w="9525">
          <a:solidFill>
            <a:srgbClr val="FF99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44</xdr:col>
      <xdr:colOff>241300</xdr:colOff>
      <xdr:row>6</xdr:row>
      <xdr:rowOff>133350</xdr:rowOff>
    </xdr:from>
    <xdr:to>
      <xdr:col>44</xdr:col>
      <xdr:colOff>241300</xdr:colOff>
      <xdr:row>9</xdr:row>
      <xdr:rowOff>63500</xdr:rowOff>
    </xdr:to>
    <xdr:sp macro="" textlink="">
      <xdr:nvSpPr>
        <xdr:cNvPr id="553749" name="Line 204">
          <a:extLst>
            <a:ext uri="{FF2B5EF4-FFF2-40B4-BE49-F238E27FC236}">
              <a16:creationId xmlns:a16="http://schemas.microsoft.com/office/drawing/2014/main" id="{61225B9B-8822-41D5-8311-37D046983B30}"/>
            </a:ext>
          </a:extLst>
        </xdr:cNvPr>
        <xdr:cNvSpPr>
          <a:spLocks noChangeShapeType="1"/>
        </xdr:cNvSpPr>
      </xdr:nvSpPr>
      <xdr:spPr bwMode="auto">
        <a:xfrm flipV="1">
          <a:off x="28352750" y="1162050"/>
          <a:ext cx="0" cy="406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44</xdr:col>
      <xdr:colOff>279400</xdr:colOff>
      <xdr:row>32</xdr:row>
      <xdr:rowOff>44450</xdr:rowOff>
    </xdr:from>
    <xdr:to>
      <xdr:col>44</xdr:col>
      <xdr:colOff>279400</xdr:colOff>
      <xdr:row>34</xdr:row>
      <xdr:rowOff>50800</xdr:rowOff>
    </xdr:to>
    <xdr:sp macro="" textlink="">
      <xdr:nvSpPr>
        <xdr:cNvPr id="553750" name="Line 205">
          <a:extLst>
            <a:ext uri="{FF2B5EF4-FFF2-40B4-BE49-F238E27FC236}">
              <a16:creationId xmlns:a16="http://schemas.microsoft.com/office/drawing/2014/main" id="{CAEA79D7-B97E-4EBA-805E-630687B030BB}"/>
            </a:ext>
          </a:extLst>
        </xdr:cNvPr>
        <xdr:cNvSpPr>
          <a:spLocks noChangeShapeType="1"/>
        </xdr:cNvSpPr>
      </xdr:nvSpPr>
      <xdr:spPr bwMode="auto">
        <a:xfrm>
          <a:off x="28390850" y="5416550"/>
          <a:ext cx="0" cy="3302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43</xdr:col>
      <xdr:colOff>492125</xdr:colOff>
      <xdr:row>5</xdr:row>
      <xdr:rowOff>79375</xdr:rowOff>
    </xdr:from>
    <xdr:ext cx="859163" cy="176972"/>
    <xdr:sp macro="" textlink="">
      <xdr:nvSpPr>
        <xdr:cNvPr id="10446" name="Text Box 206">
          <a:extLst>
            <a:ext uri="{FF2B5EF4-FFF2-40B4-BE49-F238E27FC236}">
              <a16:creationId xmlns:a16="http://schemas.microsoft.com/office/drawing/2014/main" id="{046BE8BC-4106-4BBD-A166-5F362D40CE7A}"/>
            </a:ext>
          </a:extLst>
        </xdr:cNvPr>
        <xdr:cNvSpPr txBox="1">
          <a:spLocks noChangeArrowheads="1"/>
        </xdr:cNvSpPr>
      </xdr:nvSpPr>
      <xdr:spPr bwMode="auto">
        <a:xfrm>
          <a:off x="30584775" y="911225"/>
          <a:ext cx="788158"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Spacecraft -Z</a:t>
          </a:r>
        </a:p>
      </xdr:txBody>
    </xdr:sp>
    <xdr:clientData/>
  </xdr:oneCellAnchor>
  <xdr:oneCellAnchor>
    <xdr:from>
      <xdr:col>43</xdr:col>
      <xdr:colOff>511175</xdr:colOff>
      <xdr:row>34</xdr:row>
      <xdr:rowOff>104775</xdr:rowOff>
    </xdr:from>
    <xdr:ext cx="938592" cy="183292"/>
    <xdr:sp macro="" textlink="">
      <xdr:nvSpPr>
        <xdr:cNvPr id="10447" name="Text Box 207">
          <a:extLst>
            <a:ext uri="{FF2B5EF4-FFF2-40B4-BE49-F238E27FC236}">
              <a16:creationId xmlns:a16="http://schemas.microsoft.com/office/drawing/2014/main" id="{657DDF84-9A16-404C-B15A-170C4918AB2D}"/>
            </a:ext>
          </a:extLst>
        </xdr:cNvPr>
        <xdr:cNvSpPr txBox="1">
          <a:spLocks noChangeArrowheads="1"/>
        </xdr:cNvSpPr>
      </xdr:nvSpPr>
      <xdr:spPr bwMode="auto">
        <a:xfrm>
          <a:off x="30603825" y="5578475"/>
          <a:ext cx="820344"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Spacecraft +Z</a:t>
          </a:r>
        </a:p>
      </xdr:txBody>
    </xdr:sp>
    <xdr:clientData/>
  </xdr:oneCellAnchor>
  <xdr:twoCellAnchor>
    <xdr:from>
      <xdr:col>47</xdr:col>
      <xdr:colOff>234950</xdr:colOff>
      <xdr:row>20</xdr:row>
      <xdr:rowOff>120650</xdr:rowOff>
    </xdr:from>
    <xdr:to>
      <xdr:col>48</xdr:col>
      <xdr:colOff>234950</xdr:colOff>
      <xdr:row>20</xdr:row>
      <xdr:rowOff>120650</xdr:rowOff>
    </xdr:to>
    <xdr:sp macro="" textlink="">
      <xdr:nvSpPr>
        <xdr:cNvPr id="553753" name="Line 208">
          <a:extLst>
            <a:ext uri="{FF2B5EF4-FFF2-40B4-BE49-F238E27FC236}">
              <a16:creationId xmlns:a16="http://schemas.microsoft.com/office/drawing/2014/main" id="{CABD5653-744F-4767-A751-5706C17D03B7}"/>
            </a:ext>
          </a:extLst>
        </xdr:cNvPr>
        <xdr:cNvSpPr>
          <a:spLocks noChangeShapeType="1"/>
        </xdr:cNvSpPr>
      </xdr:nvSpPr>
      <xdr:spPr bwMode="auto">
        <a:xfrm>
          <a:off x="30194250" y="3371850"/>
          <a:ext cx="6159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48</xdr:col>
      <xdr:colOff>276225</xdr:colOff>
      <xdr:row>20</xdr:row>
      <xdr:rowOff>28575</xdr:rowOff>
    </xdr:from>
    <xdr:ext cx="861741" cy="170870"/>
    <xdr:sp macro="" textlink="">
      <xdr:nvSpPr>
        <xdr:cNvPr id="10449" name="Text Box 209">
          <a:extLst>
            <a:ext uri="{FF2B5EF4-FFF2-40B4-BE49-F238E27FC236}">
              <a16:creationId xmlns:a16="http://schemas.microsoft.com/office/drawing/2014/main" id="{AB5AEED3-5E8C-4290-865F-55AD7EB69E20}"/>
            </a:ext>
          </a:extLst>
        </xdr:cNvPr>
        <xdr:cNvSpPr txBox="1">
          <a:spLocks noChangeArrowheads="1"/>
        </xdr:cNvSpPr>
      </xdr:nvSpPr>
      <xdr:spPr bwMode="auto">
        <a:xfrm>
          <a:off x="33715325" y="3152775"/>
          <a:ext cx="827545"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Spacecraft +X</a:t>
          </a:r>
        </a:p>
      </xdr:txBody>
    </xdr:sp>
    <xdr:clientData/>
  </xdr:oneCellAnchor>
  <xdr:twoCellAnchor>
    <xdr:from>
      <xdr:col>40</xdr:col>
      <xdr:colOff>222250</xdr:colOff>
      <xdr:row>20</xdr:row>
      <xdr:rowOff>146050</xdr:rowOff>
    </xdr:from>
    <xdr:to>
      <xdr:col>41</xdr:col>
      <xdr:colOff>196850</xdr:colOff>
      <xdr:row>20</xdr:row>
      <xdr:rowOff>146050</xdr:rowOff>
    </xdr:to>
    <xdr:sp macro="" textlink="">
      <xdr:nvSpPr>
        <xdr:cNvPr id="553755" name="Line 210">
          <a:extLst>
            <a:ext uri="{FF2B5EF4-FFF2-40B4-BE49-F238E27FC236}">
              <a16:creationId xmlns:a16="http://schemas.microsoft.com/office/drawing/2014/main" id="{C6B4BFEF-116B-4DAE-BBD4-1D8BDC2A64AC}"/>
            </a:ext>
          </a:extLst>
        </xdr:cNvPr>
        <xdr:cNvSpPr>
          <a:spLocks noChangeShapeType="1"/>
        </xdr:cNvSpPr>
      </xdr:nvSpPr>
      <xdr:spPr bwMode="auto">
        <a:xfrm flipH="1">
          <a:off x="25869900" y="3397250"/>
          <a:ext cx="5905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38</xdr:col>
      <xdr:colOff>600075</xdr:colOff>
      <xdr:row>20</xdr:row>
      <xdr:rowOff>82550</xdr:rowOff>
    </xdr:from>
    <xdr:ext cx="842509" cy="176972"/>
    <xdr:sp macro="" textlink="">
      <xdr:nvSpPr>
        <xdr:cNvPr id="10451" name="Text Box 211">
          <a:extLst>
            <a:ext uri="{FF2B5EF4-FFF2-40B4-BE49-F238E27FC236}">
              <a16:creationId xmlns:a16="http://schemas.microsoft.com/office/drawing/2014/main" id="{21AEAD4A-6E41-4CD2-B345-49DE8819A2BA}"/>
            </a:ext>
          </a:extLst>
        </xdr:cNvPr>
        <xdr:cNvSpPr txBox="1">
          <a:spLocks noChangeArrowheads="1"/>
        </xdr:cNvSpPr>
      </xdr:nvSpPr>
      <xdr:spPr bwMode="auto">
        <a:xfrm>
          <a:off x="27502908" y="3200400"/>
          <a:ext cx="800732"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Spacecraft -X</a:t>
          </a:r>
        </a:p>
      </xdr:txBody>
    </xdr:sp>
    <xdr:clientData/>
  </xdr:oneCellAnchor>
  <xdr:oneCellAnchor>
    <xdr:from>
      <xdr:col>36</xdr:col>
      <xdr:colOff>381000</xdr:colOff>
      <xdr:row>1</xdr:row>
      <xdr:rowOff>104775</xdr:rowOff>
    </xdr:from>
    <xdr:ext cx="1094308" cy="171073"/>
    <xdr:sp macro="" textlink="">
      <xdr:nvSpPr>
        <xdr:cNvPr id="10452" name="Text Box 212">
          <a:extLst>
            <a:ext uri="{FF2B5EF4-FFF2-40B4-BE49-F238E27FC236}">
              <a16:creationId xmlns:a16="http://schemas.microsoft.com/office/drawing/2014/main" id="{9093077D-E364-4D1C-8C5D-B61B07D414DD}"/>
            </a:ext>
          </a:extLst>
        </xdr:cNvPr>
        <xdr:cNvSpPr txBox="1">
          <a:spLocks noChangeArrowheads="1"/>
        </xdr:cNvSpPr>
      </xdr:nvSpPr>
      <xdr:spPr bwMode="auto">
        <a:xfrm>
          <a:off x="25755600" y="333375"/>
          <a:ext cx="987720"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u="none" strike="noStrike" baseline="0">
              <a:solidFill>
                <a:srgbClr val="FF00FF"/>
              </a:solidFill>
              <a:latin typeface="Arial"/>
              <a:ea typeface="Arial"/>
              <a:cs typeface="Arial"/>
            </a:rPr>
            <a:t>Measured</a:t>
          </a:r>
          <a:r>
            <a:rPr lang="en-US" sz="1000" b="0" i="0" u="none" strike="noStrike" baseline="0">
              <a:solidFill>
                <a:srgbClr val="000000"/>
              </a:solidFill>
              <a:latin typeface="Arial"/>
              <a:ea typeface="Arial"/>
              <a:cs typeface="Arial"/>
            </a:rPr>
            <a:t> </a:t>
          </a:r>
          <a:r>
            <a:rPr lang="en-US" sz="1000" b="0" i="0" u="none" strike="noStrike" baseline="0">
              <a:solidFill>
                <a:srgbClr val="FF00FF"/>
              </a:solidFill>
              <a:latin typeface="Arial"/>
              <a:ea typeface="Arial"/>
              <a:cs typeface="Arial"/>
            </a:rPr>
            <a:t>RHCP</a:t>
          </a:r>
        </a:p>
      </xdr:txBody>
    </xdr:sp>
    <xdr:clientData/>
  </xdr:oneCellAnchor>
  <xdr:twoCellAnchor>
    <xdr:from>
      <xdr:col>20</xdr:col>
      <xdr:colOff>603250</xdr:colOff>
      <xdr:row>57</xdr:row>
      <xdr:rowOff>203200</xdr:rowOff>
    </xdr:from>
    <xdr:to>
      <xdr:col>21</xdr:col>
      <xdr:colOff>336550</xdr:colOff>
      <xdr:row>58</xdr:row>
      <xdr:rowOff>177800</xdr:rowOff>
    </xdr:to>
    <xdr:sp macro="" textlink="">
      <xdr:nvSpPr>
        <xdr:cNvPr id="553758" name="Line 218">
          <a:extLst>
            <a:ext uri="{FF2B5EF4-FFF2-40B4-BE49-F238E27FC236}">
              <a16:creationId xmlns:a16="http://schemas.microsoft.com/office/drawing/2014/main" id="{8AB3DA35-E58A-4DEC-849C-52793786198A}"/>
            </a:ext>
          </a:extLst>
        </xdr:cNvPr>
        <xdr:cNvSpPr>
          <a:spLocks noChangeShapeType="1"/>
        </xdr:cNvSpPr>
      </xdr:nvSpPr>
      <xdr:spPr bwMode="auto">
        <a:xfrm flipH="1">
          <a:off x="13931900" y="11442700"/>
          <a:ext cx="349250" cy="2857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21</xdr:col>
      <xdr:colOff>355600</xdr:colOff>
      <xdr:row>57</xdr:row>
      <xdr:rowOff>95250</xdr:rowOff>
    </xdr:from>
    <xdr:ext cx="1570257" cy="337103"/>
    <xdr:sp macro="" textlink="">
      <xdr:nvSpPr>
        <xdr:cNvPr id="10459" name="Text Box 219">
          <a:extLst>
            <a:ext uri="{FF2B5EF4-FFF2-40B4-BE49-F238E27FC236}">
              <a16:creationId xmlns:a16="http://schemas.microsoft.com/office/drawing/2014/main" id="{D522EC4E-12D5-4F3E-BCF1-DA802704D0CD}"/>
            </a:ext>
          </a:extLst>
        </xdr:cNvPr>
        <xdr:cNvSpPr txBox="1">
          <a:spLocks noChangeArrowheads="1"/>
        </xdr:cNvSpPr>
      </xdr:nvSpPr>
      <xdr:spPr bwMode="auto">
        <a:xfrm>
          <a:off x="15627350" y="11017250"/>
          <a:ext cx="1486968" cy="3308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Intermediate Calculation - </a:t>
          </a:r>
        </a:p>
        <a:p>
          <a:pPr algn="l" rtl="1">
            <a:defRPr sz="1000"/>
          </a:pPr>
          <a:r>
            <a:rPr lang="en-US" sz="1000" b="0" i="0" strike="noStrike">
              <a:solidFill>
                <a:srgbClr val="000000"/>
              </a:solidFill>
              <a:latin typeface="Arial"/>
              <a:cs typeface="Arial"/>
            </a:rPr>
            <a:t>Please Ignore This Value.</a:t>
          </a:r>
        </a:p>
      </xdr:txBody>
    </xdr:sp>
    <xdr:clientData/>
  </xdr:oneCellAnchor>
  <xdr:twoCellAnchor>
    <xdr:from>
      <xdr:col>19</xdr:col>
      <xdr:colOff>12700</xdr:colOff>
      <xdr:row>81</xdr:row>
      <xdr:rowOff>165100</xdr:rowOff>
    </xdr:from>
    <xdr:to>
      <xdr:col>20</xdr:col>
      <xdr:colOff>0</xdr:colOff>
      <xdr:row>81</xdr:row>
      <xdr:rowOff>165100</xdr:rowOff>
    </xdr:to>
    <xdr:sp macro="" textlink="">
      <xdr:nvSpPr>
        <xdr:cNvPr id="553760" name="Line 220">
          <a:extLst>
            <a:ext uri="{FF2B5EF4-FFF2-40B4-BE49-F238E27FC236}">
              <a16:creationId xmlns:a16="http://schemas.microsoft.com/office/drawing/2014/main" id="{900942E9-B9A9-4CEE-A442-3DD0B9AA55E4}"/>
            </a:ext>
          </a:extLst>
        </xdr:cNvPr>
        <xdr:cNvSpPr>
          <a:spLocks noChangeShapeType="1"/>
        </xdr:cNvSpPr>
      </xdr:nvSpPr>
      <xdr:spPr bwMode="auto">
        <a:xfrm flipH="1">
          <a:off x="12725400" y="16719550"/>
          <a:ext cx="6032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20</xdr:col>
      <xdr:colOff>603250</xdr:colOff>
      <xdr:row>79</xdr:row>
      <xdr:rowOff>203200</xdr:rowOff>
    </xdr:from>
    <xdr:to>
      <xdr:col>21</xdr:col>
      <xdr:colOff>336550</xdr:colOff>
      <xdr:row>80</xdr:row>
      <xdr:rowOff>177800</xdr:rowOff>
    </xdr:to>
    <xdr:sp macro="" textlink="">
      <xdr:nvSpPr>
        <xdr:cNvPr id="553761" name="Line 221">
          <a:extLst>
            <a:ext uri="{FF2B5EF4-FFF2-40B4-BE49-F238E27FC236}">
              <a16:creationId xmlns:a16="http://schemas.microsoft.com/office/drawing/2014/main" id="{38ED14A5-D326-4A3F-9E92-CCF5B29AC09A}"/>
            </a:ext>
          </a:extLst>
        </xdr:cNvPr>
        <xdr:cNvSpPr>
          <a:spLocks noChangeShapeType="1"/>
        </xdr:cNvSpPr>
      </xdr:nvSpPr>
      <xdr:spPr bwMode="auto">
        <a:xfrm flipH="1">
          <a:off x="13931900" y="16135350"/>
          <a:ext cx="349250" cy="2857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21</xdr:col>
      <xdr:colOff>355600</xdr:colOff>
      <xdr:row>79</xdr:row>
      <xdr:rowOff>95250</xdr:rowOff>
    </xdr:from>
    <xdr:ext cx="1570257" cy="337103"/>
    <xdr:sp macro="" textlink="">
      <xdr:nvSpPr>
        <xdr:cNvPr id="10462" name="Text Box 222">
          <a:extLst>
            <a:ext uri="{FF2B5EF4-FFF2-40B4-BE49-F238E27FC236}">
              <a16:creationId xmlns:a16="http://schemas.microsoft.com/office/drawing/2014/main" id="{688E3FCE-9370-47F4-B76F-63C6F04C6C08}"/>
            </a:ext>
          </a:extLst>
        </xdr:cNvPr>
        <xdr:cNvSpPr txBox="1">
          <a:spLocks noChangeArrowheads="1"/>
        </xdr:cNvSpPr>
      </xdr:nvSpPr>
      <xdr:spPr bwMode="auto">
        <a:xfrm>
          <a:off x="15627350" y="15589250"/>
          <a:ext cx="1486968" cy="3308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Intermediate Calculation - </a:t>
          </a:r>
        </a:p>
        <a:p>
          <a:pPr algn="l" rtl="1">
            <a:defRPr sz="1000"/>
          </a:pPr>
          <a:r>
            <a:rPr lang="en-US" sz="1000" b="0" i="0" strike="noStrike">
              <a:solidFill>
                <a:srgbClr val="000000"/>
              </a:solidFill>
              <a:latin typeface="Arial"/>
              <a:cs typeface="Arial"/>
            </a:rPr>
            <a:t>Please Ignore This Value.</a:t>
          </a:r>
        </a:p>
      </xdr:txBody>
    </xdr:sp>
    <xdr:clientData/>
  </xdr:oneCellAnchor>
</xdr:wsDr>
</file>

<file path=xl/drawings/drawing8.xml><?xml version="1.0" encoding="utf-8"?>
<c:userShapes xmlns:c="http://schemas.openxmlformats.org/drawingml/2006/chart">
  <cdr:relSizeAnchor xmlns:cdr="http://schemas.openxmlformats.org/drawingml/2006/chartDrawing">
    <cdr:from>
      <cdr:x>0.50148</cdr:x>
      <cdr:y>0.50149</cdr:y>
    </cdr:from>
    <cdr:to>
      <cdr:x>0.52736</cdr:x>
      <cdr:y>0.53747</cdr:y>
    </cdr:to>
    <cdr:sp macro="" textlink="">
      <cdr:nvSpPr>
        <cdr:cNvPr id="14337" name="Text Box 1"/>
        <cdr:cNvSpPr txBox="1">
          <a:spLocks xmlns:a="http://schemas.openxmlformats.org/drawingml/2006/main" noChangeArrowheads="1"/>
        </cdr:cNvSpPr>
      </cdr:nvSpPr>
      <cdr:spPr bwMode="auto">
        <a:xfrm xmlns:a="http://schemas.openxmlformats.org/drawingml/2006/main">
          <a:off x="3432175" y="3343333"/>
          <a:ext cx="184285" cy="246817"/>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txBody>
        <a:bodyPr xmlns:a="http://schemas.openxmlformats.org/drawingml/2006/main" vertOverflow="clip" wrap="square" lIns="36576" tIns="27432" rIns="36576" bIns="27432" anchor="ctr" upright="1"/>
        <a:lstStyle xmlns:a="http://schemas.openxmlformats.org/drawingml/2006/main"/>
        <a:p xmlns:a="http://schemas.openxmlformats.org/drawingml/2006/main">
          <a:pPr algn="ctr" rtl="1">
            <a:defRPr sz="1000"/>
          </a:pPr>
          <a:r>
            <a:rPr lang="en-US" sz="1475" b="0" i="0" strike="noStrike">
              <a:solidFill>
                <a:srgbClr val="000000"/>
              </a:solidFill>
              <a:latin typeface="Arial"/>
              <a:cs typeface="Arial"/>
            </a:rPr>
            <a:t>y</a:t>
          </a:r>
        </a:p>
      </cdr:txBody>
    </cdr:sp>
  </cdr:relSizeAnchor>
</c:userShapes>
</file>

<file path=xl/drawings/drawing9.xml><?xml version="1.0" encoding="utf-8"?>
<xdr:wsDr xmlns:xdr="http://schemas.openxmlformats.org/drawingml/2006/spreadsheetDrawing" xmlns:a="http://schemas.openxmlformats.org/drawingml/2006/main">
  <xdr:twoCellAnchor>
    <xdr:from>
      <xdr:col>10</xdr:col>
      <xdr:colOff>83617</xdr:colOff>
      <xdr:row>7</xdr:row>
      <xdr:rowOff>38100</xdr:rowOff>
    </xdr:from>
    <xdr:to>
      <xdr:col>11</xdr:col>
      <xdr:colOff>569328</xdr:colOff>
      <xdr:row>14</xdr:row>
      <xdr:rowOff>107957</xdr:rowOff>
    </xdr:to>
    <xdr:sp macro="" textlink="">
      <xdr:nvSpPr>
        <xdr:cNvPr id="6145" name="Oval 1">
          <a:extLst>
            <a:ext uri="{FF2B5EF4-FFF2-40B4-BE49-F238E27FC236}">
              <a16:creationId xmlns:a16="http://schemas.microsoft.com/office/drawing/2014/main" id="{F5278CB2-0E37-4538-82DB-75505FF4006A}"/>
            </a:ext>
          </a:extLst>
        </xdr:cNvPr>
        <xdr:cNvSpPr>
          <a:spLocks noChangeArrowheads="1"/>
        </xdr:cNvSpPr>
      </xdr:nvSpPr>
      <xdr:spPr bwMode="auto">
        <a:xfrm>
          <a:off x="6973367" y="1181100"/>
          <a:ext cx="1213908" cy="1130300"/>
        </a:xfrm>
        <a:prstGeom prst="ellipse">
          <a:avLst/>
        </a:prstGeom>
        <a:solidFill>
          <a:srgbClr val="FFFFFF"/>
        </a:solidFill>
        <a:ln w="28575">
          <a:solidFill>
            <a:srgbClr val="FF0000"/>
          </a:solidFill>
          <a:round/>
          <a:headEnd/>
          <a:tailEnd/>
        </a:ln>
      </xdr:spPr>
      <xdr:txBody>
        <a:bodyPr vertOverflow="clip" wrap="square" lIns="27432" tIns="22860" rIns="0" bIns="0" anchor="t" upright="1"/>
        <a:lstStyle/>
        <a:p>
          <a:pPr algn="l" rtl="1">
            <a:defRPr sz="1000"/>
          </a:pPr>
          <a:r>
            <a:rPr lang="en-US" sz="1000" b="0" i="0" strike="noStrike">
              <a:solidFill>
                <a:srgbClr val="000000"/>
              </a:solidFill>
              <a:latin typeface="Arial"/>
              <a:cs typeface="Arial"/>
            </a:rPr>
            <a:t>  Axial Ratio =</a:t>
          </a:r>
        </a:p>
        <a:p>
          <a:pPr algn="l" rtl="1">
            <a:defRPr sz="1000"/>
          </a:pPr>
          <a:endParaRPr lang="en-US" sz="1000" b="0" i="0" strike="noStrike">
            <a:solidFill>
              <a:srgbClr val="000000"/>
            </a:solidFill>
            <a:latin typeface="Arial"/>
            <a:cs typeface="Arial"/>
          </a:endParaRPr>
        </a:p>
        <a:p>
          <a:pPr algn="l" rtl="1">
            <a:defRPr sz="1000"/>
          </a:pPr>
          <a:r>
            <a:rPr lang="en-US" sz="1000" b="0" i="0" strike="noStrike">
              <a:solidFill>
                <a:srgbClr val="000000"/>
              </a:solidFill>
              <a:latin typeface="Arial"/>
              <a:cs typeface="Arial"/>
            </a:rPr>
            <a:t>        1.0 =</a:t>
          </a:r>
        </a:p>
        <a:p>
          <a:pPr algn="l" rtl="1">
            <a:defRPr sz="1000"/>
          </a:pPr>
          <a:endParaRPr lang="en-US" sz="1000" b="0" i="0" strike="noStrike">
            <a:solidFill>
              <a:srgbClr val="000000"/>
            </a:solidFill>
            <a:latin typeface="Arial"/>
            <a:cs typeface="Arial"/>
          </a:endParaRPr>
        </a:p>
        <a:p>
          <a:pPr algn="l" rtl="1">
            <a:defRPr sz="1000"/>
          </a:pPr>
          <a:r>
            <a:rPr lang="en-US" sz="1000" b="0" i="0" strike="noStrike">
              <a:solidFill>
                <a:srgbClr val="000000"/>
              </a:solidFill>
              <a:latin typeface="Arial"/>
              <a:cs typeface="Arial"/>
            </a:rPr>
            <a:t>        0.0 dB</a:t>
          </a:r>
        </a:p>
      </xdr:txBody>
    </xdr:sp>
    <xdr:clientData/>
  </xdr:twoCellAnchor>
  <xdr:twoCellAnchor>
    <xdr:from>
      <xdr:col>13</xdr:col>
      <xdr:colOff>0</xdr:colOff>
      <xdr:row>9</xdr:row>
      <xdr:rowOff>0</xdr:rowOff>
    </xdr:from>
    <xdr:to>
      <xdr:col>15</xdr:col>
      <xdr:colOff>9525</xdr:colOff>
      <xdr:row>13</xdr:row>
      <xdr:rowOff>0</xdr:rowOff>
    </xdr:to>
    <xdr:sp macro="" textlink="">
      <xdr:nvSpPr>
        <xdr:cNvPr id="6146" name="Oval 2">
          <a:extLst>
            <a:ext uri="{FF2B5EF4-FFF2-40B4-BE49-F238E27FC236}">
              <a16:creationId xmlns:a16="http://schemas.microsoft.com/office/drawing/2014/main" id="{27AFB3C7-6AFB-4B9C-A69C-1A2081CD8020}"/>
            </a:ext>
          </a:extLst>
        </xdr:cNvPr>
        <xdr:cNvSpPr>
          <a:spLocks noChangeArrowheads="1"/>
        </xdr:cNvSpPr>
      </xdr:nvSpPr>
      <xdr:spPr bwMode="auto">
        <a:xfrm>
          <a:off x="7981950" y="1533525"/>
          <a:ext cx="1371600" cy="647700"/>
        </a:xfrm>
        <a:prstGeom prst="ellipse">
          <a:avLst/>
        </a:prstGeom>
        <a:solidFill>
          <a:srgbClr val="FFFFFF"/>
        </a:solidFill>
        <a:ln w="28575">
          <a:solidFill>
            <a:srgbClr val="FF0000"/>
          </a:solidFill>
          <a:round/>
          <a:headEnd/>
          <a:tailEnd/>
        </a:ln>
      </xdr:spPr>
      <xdr:txBody>
        <a:bodyPr vertOverflow="clip" wrap="square" lIns="27432" tIns="22860" rIns="0" bIns="0" anchor="t" upright="1"/>
        <a:lstStyle/>
        <a:p>
          <a:pPr algn="l" rtl="1">
            <a:defRPr sz="1000"/>
          </a:pPr>
          <a:r>
            <a:rPr lang="en-US" sz="1000" b="0" i="0" strike="noStrike">
              <a:solidFill>
                <a:srgbClr val="000000"/>
              </a:solidFill>
              <a:latin typeface="Arial"/>
              <a:cs typeface="Arial"/>
            </a:rPr>
            <a:t>   </a:t>
          </a:r>
          <a:r>
            <a:rPr lang="en-US" sz="900" b="0" i="0" strike="noStrike">
              <a:solidFill>
                <a:srgbClr val="000000"/>
              </a:solidFill>
              <a:latin typeface="Arial"/>
              <a:cs typeface="Arial"/>
            </a:rPr>
            <a:t>Axial Ratio =</a:t>
          </a:r>
        </a:p>
        <a:p>
          <a:pPr algn="l" rtl="1">
            <a:defRPr sz="1000"/>
          </a:pPr>
          <a:r>
            <a:rPr lang="en-US" sz="900" b="0" i="0" strike="noStrike">
              <a:solidFill>
                <a:srgbClr val="000000"/>
              </a:solidFill>
              <a:latin typeface="Arial"/>
              <a:cs typeface="Arial"/>
            </a:rPr>
            <a:t>           2.0 = </a:t>
          </a:r>
        </a:p>
        <a:p>
          <a:pPr algn="l" rtl="1">
            <a:defRPr sz="1000"/>
          </a:pPr>
          <a:r>
            <a:rPr lang="en-US" sz="900" b="0" i="0" strike="noStrike">
              <a:solidFill>
                <a:srgbClr val="000000"/>
              </a:solidFill>
              <a:latin typeface="Arial"/>
              <a:cs typeface="Arial"/>
            </a:rPr>
            <a:t>           3.0 dB</a:t>
          </a:r>
        </a:p>
      </xdr:txBody>
    </xdr:sp>
    <xdr:clientData/>
  </xdr:twoCellAnchor>
  <xdr:twoCellAnchor>
    <xdr:from>
      <xdr:col>16</xdr:col>
      <xdr:colOff>0</xdr:colOff>
      <xdr:row>11</xdr:row>
      <xdr:rowOff>0</xdr:rowOff>
    </xdr:from>
    <xdr:to>
      <xdr:col>18</xdr:col>
      <xdr:colOff>0</xdr:colOff>
      <xdr:row>11</xdr:row>
      <xdr:rowOff>0</xdr:rowOff>
    </xdr:to>
    <xdr:sp macro="" textlink="">
      <xdr:nvSpPr>
        <xdr:cNvPr id="545935" name="Line 3">
          <a:extLst>
            <a:ext uri="{FF2B5EF4-FFF2-40B4-BE49-F238E27FC236}">
              <a16:creationId xmlns:a16="http://schemas.microsoft.com/office/drawing/2014/main" id="{E0360AD7-05D9-44C3-9482-0642A9D9BDD1}"/>
            </a:ext>
          </a:extLst>
        </xdr:cNvPr>
        <xdr:cNvSpPr>
          <a:spLocks noChangeShapeType="1"/>
        </xdr:cNvSpPr>
      </xdr:nvSpPr>
      <xdr:spPr bwMode="auto">
        <a:xfrm>
          <a:off x="10140950" y="1835150"/>
          <a:ext cx="1231900" cy="0"/>
        </a:xfrm>
        <a:prstGeom prst="line">
          <a:avLst/>
        </a:prstGeom>
        <a:noFill/>
        <a:ln w="28575">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61381</xdr:colOff>
      <xdr:row>17</xdr:row>
      <xdr:rowOff>38100</xdr:rowOff>
    </xdr:from>
    <xdr:to>
      <xdr:col>11</xdr:col>
      <xdr:colOff>571315</xdr:colOff>
      <xdr:row>24</xdr:row>
      <xdr:rowOff>107957</xdr:rowOff>
    </xdr:to>
    <xdr:sp macro="" textlink="">
      <xdr:nvSpPr>
        <xdr:cNvPr id="6148" name="Oval 4">
          <a:extLst>
            <a:ext uri="{FF2B5EF4-FFF2-40B4-BE49-F238E27FC236}">
              <a16:creationId xmlns:a16="http://schemas.microsoft.com/office/drawing/2014/main" id="{96271882-5078-4E9E-B02E-8E98F73BC3E2}"/>
            </a:ext>
          </a:extLst>
        </xdr:cNvPr>
        <xdr:cNvSpPr>
          <a:spLocks noChangeArrowheads="1"/>
        </xdr:cNvSpPr>
      </xdr:nvSpPr>
      <xdr:spPr bwMode="auto">
        <a:xfrm>
          <a:off x="6951131" y="2705100"/>
          <a:ext cx="1231740" cy="1130300"/>
        </a:xfrm>
        <a:prstGeom prst="ellipse">
          <a:avLst/>
        </a:prstGeom>
        <a:solidFill>
          <a:srgbClr val="FFFFFF"/>
        </a:solidFill>
        <a:ln w="28575">
          <a:solidFill>
            <a:srgbClr val="0000FF"/>
          </a:solidFill>
          <a:round/>
          <a:headEnd/>
          <a:tailEnd/>
        </a:ln>
      </xdr:spPr>
      <xdr:txBody>
        <a:bodyPr vertOverflow="clip" wrap="square" lIns="27432" tIns="22860" rIns="0" bIns="0" anchor="t" upright="1"/>
        <a:lstStyle/>
        <a:p>
          <a:pPr algn="l" rtl="1">
            <a:defRPr sz="1000"/>
          </a:pPr>
          <a:r>
            <a:rPr lang="en-US" sz="1000" b="0" i="0" strike="noStrike">
              <a:solidFill>
                <a:srgbClr val="000000"/>
              </a:solidFill>
              <a:latin typeface="Arial"/>
              <a:cs typeface="Arial"/>
            </a:rPr>
            <a:t>  Axial Ratio =</a:t>
          </a:r>
        </a:p>
        <a:p>
          <a:pPr algn="l" rtl="1">
            <a:defRPr sz="1000"/>
          </a:pPr>
          <a:endParaRPr lang="en-US" sz="1000" b="0" i="0" strike="noStrike">
            <a:solidFill>
              <a:srgbClr val="000000"/>
            </a:solidFill>
            <a:latin typeface="Arial"/>
            <a:cs typeface="Arial"/>
          </a:endParaRPr>
        </a:p>
        <a:p>
          <a:pPr algn="l" rtl="1">
            <a:defRPr sz="1000"/>
          </a:pPr>
          <a:r>
            <a:rPr lang="en-US" sz="1000" b="0" i="0" strike="noStrike">
              <a:solidFill>
                <a:srgbClr val="000000"/>
              </a:solidFill>
              <a:latin typeface="Arial"/>
              <a:cs typeface="Arial"/>
            </a:rPr>
            <a:t>        1.0 =</a:t>
          </a:r>
        </a:p>
        <a:p>
          <a:pPr algn="l" rtl="1">
            <a:defRPr sz="1000"/>
          </a:pPr>
          <a:endParaRPr lang="en-US" sz="1000" b="0" i="0" strike="noStrike">
            <a:solidFill>
              <a:srgbClr val="000000"/>
            </a:solidFill>
            <a:latin typeface="Arial"/>
            <a:cs typeface="Arial"/>
          </a:endParaRPr>
        </a:p>
        <a:p>
          <a:pPr algn="l" rtl="1">
            <a:defRPr sz="1000"/>
          </a:pPr>
          <a:r>
            <a:rPr lang="en-US" sz="1000" b="0" i="0" strike="noStrike">
              <a:solidFill>
                <a:srgbClr val="000000"/>
              </a:solidFill>
              <a:latin typeface="Arial"/>
              <a:cs typeface="Arial"/>
            </a:rPr>
            <a:t>        0.0 dB</a:t>
          </a:r>
        </a:p>
      </xdr:txBody>
    </xdr:sp>
    <xdr:clientData/>
  </xdr:twoCellAnchor>
  <xdr:twoCellAnchor>
    <xdr:from>
      <xdr:col>13</xdr:col>
      <xdr:colOff>0</xdr:colOff>
      <xdr:row>19</xdr:row>
      <xdr:rowOff>0</xdr:rowOff>
    </xdr:from>
    <xdr:to>
      <xdr:col>15</xdr:col>
      <xdr:colOff>9525</xdr:colOff>
      <xdr:row>23</xdr:row>
      <xdr:rowOff>0</xdr:rowOff>
    </xdr:to>
    <xdr:sp macro="" textlink="">
      <xdr:nvSpPr>
        <xdr:cNvPr id="6149" name="Oval 5">
          <a:extLst>
            <a:ext uri="{FF2B5EF4-FFF2-40B4-BE49-F238E27FC236}">
              <a16:creationId xmlns:a16="http://schemas.microsoft.com/office/drawing/2014/main" id="{04E6EF66-BBF8-4DA3-B6D3-40812D76CBA4}"/>
            </a:ext>
          </a:extLst>
        </xdr:cNvPr>
        <xdr:cNvSpPr>
          <a:spLocks noChangeArrowheads="1"/>
        </xdr:cNvSpPr>
      </xdr:nvSpPr>
      <xdr:spPr bwMode="auto">
        <a:xfrm>
          <a:off x="7981950" y="3152775"/>
          <a:ext cx="1371600" cy="647700"/>
        </a:xfrm>
        <a:prstGeom prst="ellipse">
          <a:avLst/>
        </a:prstGeom>
        <a:solidFill>
          <a:srgbClr val="FFFFFF"/>
        </a:solidFill>
        <a:ln w="28575">
          <a:solidFill>
            <a:srgbClr val="0000FF"/>
          </a:solidFill>
          <a:round/>
          <a:headEnd/>
          <a:tailEnd/>
        </a:ln>
      </xdr:spPr>
      <xdr:txBody>
        <a:bodyPr vertOverflow="clip" wrap="square" lIns="27432" tIns="22860" rIns="0" bIns="0" anchor="t" upright="1"/>
        <a:lstStyle/>
        <a:p>
          <a:pPr algn="l" rtl="1">
            <a:defRPr sz="1000"/>
          </a:pPr>
          <a:r>
            <a:rPr lang="en-US" sz="900" b="0" i="0" strike="noStrike">
              <a:solidFill>
                <a:srgbClr val="000000"/>
              </a:solidFill>
              <a:latin typeface="Arial"/>
              <a:cs typeface="Arial"/>
            </a:rPr>
            <a:t>    Axial Ratio =</a:t>
          </a:r>
        </a:p>
        <a:p>
          <a:pPr algn="l" rtl="1">
            <a:defRPr sz="1000"/>
          </a:pPr>
          <a:r>
            <a:rPr lang="en-US" sz="900" b="0" i="0" strike="noStrike">
              <a:solidFill>
                <a:srgbClr val="000000"/>
              </a:solidFill>
              <a:latin typeface="Arial"/>
              <a:cs typeface="Arial"/>
            </a:rPr>
            <a:t>           2.0 =</a:t>
          </a:r>
        </a:p>
        <a:p>
          <a:pPr algn="l" rtl="1">
            <a:defRPr sz="1000"/>
          </a:pPr>
          <a:r>
            <a:rPr lang="en-US" sz="900" b="0" i="0" strike="noStrike">
              <a:solidFill>
                <a:srgbClr val="000000"/>
              </a:solidFill>
              <a:latin typeface="Arial"/>
              <a:cs typeface="Arial"/>
            </a:rPr>
            <a:t>         3.0 dB</a:t>
          </a:r>
        </a:p>
      </xdr:txBody>
    </xdr:sp>
    <xdr:clientData/>
  </xdr:twoCellAnchor>
  <xdr:twoCellAnchor>
    <xdr:from>
      <xdr:col>16</xdr:col>
      <xdr:colOff>0</xdr:colOff>
      <xdr:row>21</xdr:row>
      <xdr:rowOff>0</xdr:rowOff>
    </xdr:from>
    <xdr:to>
      <xdr:col>18</xdr:col>
      <xdr:colOff>0</xdr:colOff>
      <xdr:row>21</xdr:row>
      <xdr:rowOff>0</xdr:rowOff>
    </xdr:to>
    <xdr:sp macro="" textlink="">
      <xdr:nvSpPr>
        <xdr:cNvPr id="545938" name="Line 6">
          <a:extLst>
            <a:ext uri="{FF2B5EF4-FFF2-40B4-BE49-F238E27FC236}">
              <a16:creationId xmlns:a16="http://schemas.microsoft.com/office/drawing/2014/main" id="{6DDC40D2-FD1D-4643-9119-9C9E27548A44}"/>
            </a:ext>
          </a:extLst>
        </xdr:cNvPr>
        <xdr:cNvSpPr>
          <a:spLocks noChangeShapeType="1"/>
        </xdr:cNvSpPr>
      </xdr:nvSpPr>
      <xdr:spPr bwMode="auto">
        <a:xfrm>
          <a:off x="10140950" y="3429000"/>
          <a:ext cx="1231900" cy="0"/>
        </a:xfrm>
        <a:prstGeom prst="line">
          <a:avLst/>
        </a:prstGeom>
        <a:noFill/>
        <a:ln w="28575">
          <a:solidFill>
            <a:srgbClr val="0000FF"/>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590550</xdr:colOff>
      <xdr:row>30</xdr:row>
      <xdr:rowOff>57150</xdr:rowOff>
    </xdr:from>
    <xdr:to>
      <xdr:col>12</xdr:col>
      <xdr:colOff>590550</xdr:colOff>
      <xdr:row>34</xdr:row>
      <xdr:rowOff>50800</xdr:rowOff>
    </xdr:to>
    <xdr:sp macro="" textlink="">
      <xdr:nvSpPr>
        <xdr:cNvPr id="545939" name="Oval 7">
          <a:extLst>
            <a:ext uri="{FF2B5EF4-FFF2-40B4-BE49-F238E27FC236}">
              <a16:creationId xmlns:a16="http://schemas.microsoft.com/office/drawing/2014/main" id="{48C5F495-9A32-4DA7-A3C6-FA301F143755}"/>
            </a:ext>
          </a:extLst>
        </xdr:cNvPr>
        <xdr:cNvSpPr>
          <a:spLocks noChangeArrowheads="1"/>
        </xdr:cNvSpPr>
      </xdr:nvSpPr>
      <xdr:spPr bwMode="auto">
        <a:xfrm rot="2094983">
          <a:off x="6858000" y="4940300"/>
          <a:ext cx="1231900" cy="635000"/>
        </a:xfrm>
        <a:prstGeom prst="ellipse">
          <a:avLst/>
        </a:prstGeom>
        <a:noFill/>
        <a:ln w="28575">
          <a:solidFill>
            <a:srgbClr val="FF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9</xdr:col>
      <xdr:colOff>641350</xdr:colOff>
      <xdr:row>32</xdr:row>
      <xdr:rowOff>25400</xdr:rowOff>
    </xdr:from>
    <xdr:to>
      <xdr:col>13</xdr:col>
      <xdr:colOff>571500</xdr:colOff>
      <xdr:row>32</xdr:row>
      <xdr:rowOff>38100</xdr:rowOff>
    </xdr:to>
    <xdr:sp macro="" textlink="">
      <xdr:nvSpPr>
        <xdr:cNvPr id="545940" name="Line 8">
          <a:extLst>
            <a:ext uri="{FF2B5EF4-FFF2-40B4-BE49-F238E27FC236}">
              <a16:creationId xmlns:a16="http://schemas.microsoft.com/office/drawing/2014/main" id="{C7101DDC-BC60-4488-A2E9-B151A5979A25}"/>
            </a:ext>
          </a:extLst>
        </xdr:cNvPr>
        <xdr:cNvSpPr>
          <a:spLocks noChangeShapeType="1"/>
        </xdr:cNvSpPr>
      </xdr:nvSpPr>
      <xdr:spPr bwMode="auto">
        <a:xfrm rot="2132260" flipV="1">
          <a:off x="6223000" y="5232400"/>
          <a:ext cx="2463800" cy="127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584200</xdr:colOff>
      <xdr:row>30</xdr:row>
      <xdr:rowOff>57150</xdr:rowOff>
    </xdr:from>
    <xdr:to>
      <xdr:col>12</xdr:col>
      <xdr:colOff>590550</xdr:colOff>
      <xdr:row>34</xdr:row>
      <xdr:rowOff>50800</xdr:rowOff>
    </xdr:to>
    <xdr:sp macro="" textlink="">
      <xdr:nvSpPr>
        <xdr:cNvPr id="545941" name="Oval 9">
          <a:extLst>
            <a:ext uri="{FF2B5EF4-FFF2-40B4-BE49-F238E27FC236}">
              <a16:creationId xmlns:a16="http://schemas.microsoft.com/office/drawing/2014/main" id="{D5B05C2B-2459-48EB-9C75-763605D0FDA7}"/>
            </a:ext>
          </a:extLst>
        </xdr:cNvPr>
        <xdr:cNvSpPr>
          <a:spLocks noChangeArrowheads="1"/>
        </xdr:cNvSpPr>
      </xdr:nvSpPr>
      <xdr:spPr bwMode="auto">
        <a:xfrm rot="-2312580">
          <a:off x="6851650" y="4940300"/>
          <a:ext cx="1238250" cy="635000"/>
        </a:xfrm>
        <a:prstGeom prst="ellipse">
          <a:avLst/>
        </a:prstGeom>
        <a:noFill/>
        <a:ln w="28575">
          <a:solidFill>
            <a:srgbClr val="00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69850</xdr:colOff>
      <xdr:row>32</xdr:row>
      <xdr:rowOff>38100</xdr:rowOff>
    </xdr:from>
    <xdr:to>
      <xdr:col>13</xdr:col>
      <xdr:colOff>450850</xdr:colOff>
      <xdr:row>32</xdr:row>
      <xdr:rowOff>63500</xdr:rowOff>
    </xdr:to>
    <xdr:sp macro="" textlink="">
      <xdr:nvSpPr>
        <xdr:cNvPr id="545942" name="Line 10">
          <a:extLst>
            <a:ext uri="{FF2B5EF4-FFF2-40B4-BE49-F238E27FC236}">
              <a16:creationId xmlns:a16="http://schemas.microsoft.com/office/drawing/2014/main" id="{0B3C1815-309A-47E9-ABAC-2C663EF10973}"/>
            </a:ext>
          </a:extLst>
        </xdr:cNvPr>
        <xdr:cNvSpPr>
          <a:spLocks noChangeShapeType="1"/>
        </xdr:cNvSpPr>
      </xdr:nvSpPr>
      <xdr:spPr bwMode="auto">
        <a:xfrm rot="19215778" flipV="1">
          <a:off x="6337300" y="5245100"/>
          <a:ext cx="2228850" cy="254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13</xdr:col>
      <xdr:colOff>307975</xdr:colOff>
      <xdr:row>31</xdr:row>
      <xdr:rowOff>107950</xdr:rowOff>
    </xdr:from>
    <xdr:to>
      <xdr:col>13</xdr:col>
      <xdr:colOff>568748</xdr:colOff>
      <xdr:row>34</xdr:row>
      <xdr:rowOff>38060</xdr:rowOff>
    </xdr:to>
    <xdr:sp macro="" textlink="">
      <xdr:nvSpPr>
        <xdr:cNvPr id="6161" name="Text Box 17">
          <a:extLst>
            <a:ext uri="{FF2B5EF4-FFF2-40B4-BE49-F238E27FC236}">
              <a16:creationId xmlns:a16="http://schemas.microsoft.com/office/drawing/2014/main" id="{9FB0D015-0DDD-4CD6-98C4-57F9A2796474}"/>
            </a:ext>
          </a:extLst>
        </xdr:cNvPr>
        <xdr:cNvSpPr txBox="1">
          <a:spLocks noChangeArrowheads="1"/>
        </xdr:cNvSpPr>
      </xdr:nvSpPr>
      <xdr:spPr bwMode="auto">
        <a:xfrm>
          <a:off x="8277225" y="5229225"/>
          <a:ext cx="266700" cy="409575"/>
        </a:xfrm>
        <a:prstGeom prst="rect">
          <a:avLst/>
        </a:prstGeom>
        <a:noFill/>
        <a:ln w="9525">
          <a:noFill/>
          <a:miter lim="800000"/>
          <a:headEnd/>
          <a:tailEnd/>
        </a:ln>
      </xdr:spPr>
      <xdr:txBody>
        <a:bodyPr vertOverflow="clip" wrap="square" lIns="36576" tIns="27432" rIns="0" bIns="0" anchor="t" upright="1"/>
        <a:lstStyle/>
        <a:p>
          <a:pPr algn="l" rtl="1">
            <a:defRPr sz="1000"/>
          </a:pPr>
          <a:r>
            <a:rPr lang="el-GR" sz="1200" b="1" i="0" strike="noStrike">
              <a:solidFill>
                <a:srgbClr val="000000"/>
              </a:solidFill>
              <a:latin typeface="Arial"/>
              <a:cs typeface="Arial"/>
            </a:rPr>
            <a:t>θ</a:t>
          </a:r>
        </a:p>
      </xdr:txBody>
    </xdr:sp>
    <xdr:clientData/>
  </xdr:twoCellAnchor>
  <xdr:twoCellAnchor>
    <xdr:from>
      <xdr:col>13</xdr:col>
      <xdr:colOff>279400</xdr:colOff>
      <xdr:row>33</xdr:row>
      <xdr:rowOff>12700</xdr:rowOff>
    </xdr:from>
    <xdr:to>
      <xdr:col>13</xdr:col>
      <xdr:colOff>361950</xdr:colOff>
      <xdr:row>34</xdr:row>
      <xdr:rowOff>50800</xdr:rowOff>
    </xdr:to>
    <xdr:sp macro="" textlink="">
      <xdr:nvSpPr>
        <xdr:cNvPr id="545944" name="Line 18">
          <a:extLst>
            <a:ext uri="{FF2B5EF4-FFF2-40B4-BE49-F238E27FC236}">
              <a16:creationId xmlns:a16="http://schemas.microsoft.com/office/drawing/2014/main" id="{7B020367-8969-44DA-B942-B2B06FCB8B95}"/>
            </a:ext>
          </a:extLst>
        </xdr:cNvPr>
        <xdr:cNvSpPr>
          <a:spLocks noChangeShapeType="1"/>
        </xdr:cNvSpPr>
      </xdr:nvSpPr>
      <xdr:spPr bwMode="auto">
        <a:xfrm flipH="1">
          <a:off x="8394700" y="5378450"/>
          <a:ext cx="82550" cy="1968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13</xdr:col>
      <xdr:colOff>139700</xdr:colOff>
      <xdr:row>34</xdr:row>
      <xdr:rowOff>50800</xdr:rowOff>
    </xdr:from>
    <xdr:to>
      <xdr:col>13</xdr:col>
      <xdr:colOff>279400</xdr:colOff>
      <xdr:row>35</xdr:row>
      <xdr:rowOff>82550</xdr:rowOff>
    </xdr:to>
    <xdr:sp macro="" textlink="">
      <xdr:nvSpPr>
        <xdr:cNvPr id="545945" name="Line 19">
          <a:extLst>
            <a:ext uri="{FF2B5EF4-FFF2-40B4-BE49-F238E27FC236}">
              <a16:creationId xmlns:a16="http://schemas.microsoft.com/office/drawing/2014/main" id="{A7359CF8-AD1B-4117-832F-6D5C88544C1E}"/>
            </a:ext>
          </a:extLst>
        </xdr:cNvPr>
        <xdr:cNvSpPr>
          <a:spLocks noChangeShapeType="1"/>
        </xdr:cNvSpPr>
      </xdr:nvSpPr>
      <xdr:spPr bwMode="auto">
        <a:xfrm flipH="1">
          <a:off x="8255000" y="5575300"/>
          <a:ext cx="139700" cy="1905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13</xdr:col>
      <xdr:colOff>311150</xdr:colOff>
      <xdr:row>30</xdr:row>
      <xdr:rowOff>57150</xdr:rowOff>
    </xdr:from>
    <xdr:to>
      <xdr:col>13</xdr:col>
      <xdr:colOff>361950</xdr:colOff>
      <xdr:row>31</xdr:row>
      <xdr:rowOff>107950</xdr:rowOff>
    </xdr:to>
    <xdr:sp macro="" textlink="">
      <xdr:nvSpPr>
        <xdr:cNvPr id="545946" name="Line 20">
          <a:extLst>
            <a:ext uri="{FF2B5EF4-FFF2-40B4-BE49-F238E27FC236}">
              <a16:creationId xmlns:a16="http://schemas.microsoft.com/office/drawing/2014/main" id="{724B70B1-DF9A-453D-B688-6BECB34D7DF2}"/>
            </a:ext>
          </a:extLst>
        </xdr:cNvPr>
        <xdr:cNvSpPr>
          <a:spLocks noChangeShapeType="1"/>
        </xdr:cNvSpPr>
      </xdr:nvSpPr>
      <xdr:spPr bwMode="auto">
        <a:xfrm flipH="1" flipV="1">
          <a:off x="8426450" y="4940300"/>
          <a:ext cx="50800" cy="2159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13</xdr:col>
      <xdr:colOff>127000</xdr:colOff>
      <xdr:row>28</xdr:row>
      <xdr:rowOff>146050</xdr:rowOff>
    </xdr:from>
    <xdr:to>
      <xdr:col>13</xdr:col>
      <xdr:colOff>311150</xdr:colOff>
      <xdr:row>30</xdr:row>
      <xdr:rowOff>57150</xdr:rowOff>
    </xdr:to>
    <xdr:sp macro="" textlink="">
      <xdr:nvSpPr>
        <xdr:cNvPr id="545947" name="Line 21">
          <a:extLst>
            <a:ext uri="{FF2B5EF4-FFF2-40B4-BE49-F238E27FC236}">
              <a16:creationId xmlns:a16="http://schemas.microsoft.com/office/drawing/2014/main" id="{A95FC968-0726-4895-AEB2-63DEDC95A5DC}"/>
            </a:ext>
          </a:extLst>
        </xdr:cNvPr>
        <xdr:cNvSpPr>
          <a:spLocks noChangeShapeType="1"/>
        </xdr:cNvSpPr>
      </xdr:nvSpPr>
      <xdr:spPr bwMode="auto">
        <a:xfrm flipH="1" flipV="1">
          <a:off x="8242300" y="4692650"/>
          <a:ext cx="184150" cy="2476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590550</xdr:colOff>
      <xdr:row>11</xdr:row>
      <xdr:rowOff>0</xdr:rowOff>
    </xdr:from>
    <xdr:to>
      <xdr:col>6</xdr:col>
      <xdr:colOff>0</xdr:colOff>
      <xdr:row>11</xdr:row>
      <xdr:rowOff>0</xdr:rowOff>
    </xdr:to>
    <xdr:sp macro="" textlink="">
      <xdr:nvSpPr>
        <xdr:cNvPr id="545948" name="Line 22">
          <a:extLst>
            <a:ext uri="{FF2B5EF4-FFF2-40B4-BE49-F238E27FC236}">
              <a16:creationId xmlns:a16="http://schemas.microsoft.com/office/drawing/2014/main" id="{649BCC9C-8849-47D7-8776-88815CDF041E}"/>
            </a:ext>
          </a:extLst>
        </xdr:cNvPr>
        <xdr:cNvSpPr>
          <a:spLocks noChangeShapeType="1"/>
        </xdr:cNvSpPr>
      </xdr:nvSpPr>
      <xdr:spPr bwMode="auto">
        <a:xfrm flipH="1">
          <a:off x="2438400" y="1835150"/>
          <a:ext cx="1257300" cy="0"/>
        </a:xfrm>
        <a:prstGeom prst="line">
          <a:avLst/>
        </a:prstGeom>
        <a:noFill/>
        <a:ln w="952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590550</xdr:colOff>
      <xdr:row>21</xdr:row>
      <xdr:rowOff>0</xdr:rowOff>
    </xdr:from>
    <xdr:to>
      <xdr:col>5</xdr:col>
      <xdr:colOff>603250</xdr:colOff>
      <xdr:row>21</xdr:row>
      <xdr:rowOff>0</xdr:rowOff>
    </xdr:to>
    <xdr:sp macro="" textlink="">
      <xdr:nvSpPr>
        <xdr:cNvPr id="545949" name="Line 23">
          <a:extLst>
            <a:ext uri="{FF2B5EF4-FFF2-40B4-BE49-F238E27FC236}">
              <a16:creationId xmlns:a16="http://schemas.microsoft.com/office/drawing/2014/main" id="{DA276813-127D-40C4-B7F8-55D72A010D6D}"/>
            </a:ext>
          </a:extLst>
        </xdr:cNvPr>
        <xdr:cNvSpPr>
          <a:spLocks noChangeShapeType="1"/>
        </xdr:cNvSpPr>
      </xdr:nvSpPr>
      <xdr:spPr bwMode="auto">
        <a:xfrm flipH="1">
          <a:off x="2438400" y="3429000"/>
          <a:ext cx="1244600" cy="0"/>
        </a:xfrm>
        <a:prstGeom prst="line">
          <a:avLst/>
        </a:prstGeom>
        <a:noFill/>
        <a:ln w="952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0</xdr:colOff>
      <xdr:row>8</xdr:row>
      <xdr:rowOff>152400</xdr:rowOff>
    </xdr:from>
    <xdr:to>
      <xdr:col>5</xdr:col>
      <xdr:colOff>0</xdr:colOff>
      <xdr:row>13</xdr:row>
      <xdr:rowOff>12700</xdr:rowOff>
    </xdr:to>
    <xdr:sp macro="" textlink="">
      <xdr:nvSpPr>
        <xdr:cNvPr id="545950" name="Line 24">
          <a:extLst>
            <a:ext uri="{FF2B5EF4-FFF2-40B4-BE49-F238E27FC236}">
              <a16:creationId xmlns:a16="http://schemas.microsoft.com/office/drawing/2014/main" id="{6511E669-D3B9-4C79-9824-64AA80E46CF2}"/>
            </a:ext>
          </a:extLst>
        </xdr:cNvPr>
        <xdr:cNvSpPr>
          <a:spLocks noChangeShapeType="1"/>
        </xdr:cNvSpPr>
      </xdr:nvSpPr>
      <xdr:spPr bwMode="auto">
        <a:xfrm>
          <a:off x="3079750" y="1504950"/>
          <a:ext cx="0" cy="660400"/>
        </a:xfrm>
        <a:prstGeom prst="line">
          <a:avLst/>
        </a:prstGeom>
        <a:noFill/>
        <a:ln w="952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0</xdr:colOff>
      <xdr:row>19</xdr:row>
      <xdr:rowOff>0</xdr:rowOff>
    </xdr:from>
    <xdr:to>
      <xdr:col>5</xdr:col>
      <xdr:colOff>0</xdr:colOff>
      <xdr:row>23</xdr:row>
      <xdr:rowOff>25400</xdr:rowOff>
    </xdr:to>
    <xdr:sp macro="" textlink="">
      <xdr:nvSpPr>
        <xdr:cNvPr id="545951" name="Line 25">
          <a:extLst>
            <a:ext uri="{FF2B5EF4-FFF2-40B4-BE49-F238E27FC236}">
              <a16:creationId xmlns:a16="http://schemas.microsoft.com/office/drawing/2014/main" id="{1D935F3F-C4F8-41AC-97CE-8A1351768A36}"/>
            </a:ext>
          </a:extLst>
        </xdr:cNvPr>
        <xdr:cNvSpPr>
          <a:spLocks noChangeShapeType="1"/>
        </xdr:cNvSpPr>
      </xdr:nvSpPr>
      <xdr:spPr bwMode="auto">
        <a:xfrm>
          <a:off x="3079750" y="3105150"/>
          <a:ext cx="0" cy="666750"/>
        </a:xfrm>
        <a:prstGeom prst="line">
          <a:avLst/>
        </a:prstGeom>
        <a:noFill/>
        <a:ln w="952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oneCellAnchor>
    <xdr:from>
      <xdr:col>1</xdr:col>
      <xdr:colOff>568325</xdr:colOff>
      <xdr:row>10</xdr:row>
      <xdr:rowOff>0</xdr:rowOff>
    </xdr:from>
    <xdr:ext cx="1320325" cy="318829"/>
    <xdr:sp macro="" textlink="">
      <xdr:nvSpPr>
        <xdr:cNvPr id="6170" name="Text Box 26">
          <a:extLst>
            <a:ext uri="{FF2B5EF4-FFF2-40B4-BE49-F238E27FC236}">
              <a16:creationId xmlns:a16="http://schemas.microsoft.com/office/drawing/2014/main" id="{5D199CF1-8020-4389-B9EA-23AFA68AE595}"/>
            </a:ext>
          </a:extLst>
        </xdr:cNvPr>
        <xdr:cNvSpPr txBox="1">
          <a:spLocks noChangeArrowheads="1"/>
        </xdr:cNvSpPr>
      </xdr:nvSpPr>
      <xdr:spPr bwMode="auto">
        <a:xfrm>
          <a:off x="1302808" y="1600200"/>
          <a:ext cx="1187594" cy="330860"/>
        </a:xfrm>
        <a:prstGeom prst="rect">
          <a:avLst/>
        </a:prstGeom>
        <a:solidFill>
          <a:srgbClr val="FFFFFF"/>
        </a:solid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Power when Aligned </a:t>
          </a:r>
        </a:p>
        <a:p>
          <a:pPr algn="l" rtl="1">
            <a:lnSpc>
              <a:spcPts val="1100"/>
            </a:lnSpc>
            <a:defRPr sz="1000"/>
          </a:pPr>
          <a:r>
            <a:rPr lang="en-US" sz="1000" b="0" i="0" strike="noStrike">
              <a:solidFill>
                <a:srgbClr val="000000"/>
              </a:solidFill>
              <a:latin typeface="Arial"/>
              <a:cs typeface="Arial"/>
            </a:rPr>
            <a:t>with Major Axis</a:t>
          </a:r>
        </a:p>
      </xdr:txBody>
    </xdr:sp>
    <xdr:clientData/>
  </xdr:oneCellAnchor>
  <xdr:oneCellAnchor>
    <xdr:from>
      <xdr:col>1</xdr:col>
      <xdr:colOff>533400</xdr:colOff>
      <xdr:row>20</xdr:row>
      <xdr:rowOff>0</xdr:rowOff>
    </xdr:from>
    <xdr:ext cx="1321110" cy="318829"/>
    <xdr:sp macro="" textlink="">
      <xdr:nvSpPr>
        <xdr:cNvPr id="6171" name="Text Box 27">
          <a:extLst>
            <a:ext uri="{FF2B5EF4-FFF2-40B4-BE49-F238E27FC236}">
              <a16:creationId xmlns:a16="http://schemas.microsoft.com/office/drawing/2014/main" id="{5D268768-A50D-4931-8EA0-BC688424D4C5}"/>
            </a:ext>
          </a:extLst>
        </xdr:cNvPr>
        <xdr:cNvSpPr txBox="1">
          <a:spLocks noChangeArrowheads="1"/>
        </xdr:cNvSpPr>
      </xdr:nvSpPr>
      <xdr:spPr bwMode="auto">
        <a:xfrm>
          <a:off x="1261533" y="3124200"/>
          <a:ext cx="1187594" cy="330860"/>
        </a:xfrm>
        <a:prstGeom prst="rect">
          <a:avLst/>
        </a:prstGeom>
        <a:solidFill>
          <a:srgbClr val="FFFFFF"/>
        </a:solid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Power when Aligned </a:t>
          </a:r>
        </a:p>
        <a:p>
          <a:pPr algn="l" rtl="1">
            <a:lnSpc>
              <a:spcPts val="1100"/>
            </a:lnSpc>
            <a:defRPr sz="1000"/>
          </a:pPr>
          <a:r>
            <a:rPr lang="en-US" sz="1000" b="0" i="0" strike="noStrike">
              <a:solidFill>
                <a:srgbClr val="000000"/>
              </a:solidFill>
              <a:latin typeface="Arial"/>
              <a:cs typeface="Arial"/>
            </a:rPr>
            <a:t>with Major Axis</a:t>
          </a:r>
        </a:p>
      </xdr:txBody>
    </xdr:sp>
    <xdr:clientData/>
  </xdr:oneCellAnchor>
  <xdr:oneCellAnchor>
    <xdr:from>
      <xdr:col>3</xdr:col>
      <xdr:colOff>152400</xdr:colOff>
      <xdr:row>6</xdr:row>
      <xdr:rowOff>9525</xdr:rowOff>
    </xdr:from>
    <xdr:ext cx="2293318" cy="176972"/>
    <xdr:sp macro="" textlink="">
      <xdr:nvSpPr>
        <xdr:cNvPr id="6172" name="Text Box 28">
          <a:extLst>
            <a:ext uri="{FF2B5EF4-FFF2-40B4-BE49-F238E27FC236}">
              <a16:creationId xmlns:a16="http://schemas.microsoft.com/office/drawing/2014/main" id="{84DD4313-F269-49FF-B9A0-39F2E5E833B0}"/>
            </a:ext>
          </a:extLst>
        </xdr:cNvPr>
        <xdr:cNvSpPr txBox="1">
          <a:spLocks noChangeArrowheads="1"/>
        </xdr:cNvSpPr>
      </xdr:nvSpPr>
      <xdr:spPr bwMode="auto">
        <a:xfrm>
          <a:off x="2197100" y="1000125"/>
          <a:ext cx="2085464" cy="176972"/>
        </a:xfrm>
        <a:prstGeom prst="rect">
          <a:avLst/>
        </a:prstGeom>
        <a:solidFill>
          <a:srgbClr val="FFFFFF"/>
        </a:solid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Power when Aligned with Minor Axis</a:t>
          </a:r>
        </a:p>
      </xdr:txBody>
    </xdr:sp>
    <xdr:clientData/>
  </xdr:oneCellAnchor>
  <xdr:twoCellAnchor>
    <xdr:from>
      <xdr:col>4</xdr:col>
      <xdr:colOff>0</xdr:colOff>
      <xdr:row>3</xdr:row>
      <xdr:rowOff>82550</xdr:rowOff>
    </xdr:from>
    <xdr:to>
      <xdr:col>10</xdr:col>
      <xdr:colOff>12700</xdr:colOff>
      <xdr:row>3</xdr:row>
      <xdr:rowOff>82550</xdr:rowOff>
    </xdr:to>
    <xdr:sp macro="" textlink="">
      <xdr:nvSpPr>
        <xdr:cNvPr id="545955" name="Line 29">
          <a:extLst>
            <a:ext uri="{FF2B5EF4-FFF2-40B4-BE49-F238E27FC236}">
              <a16:creationId xmlns:a16="http://schemas.microsoft.com/office/drawing/2014/main" id="{6D1F2E17-0AD5-477B-912A-0A1C010E2AB0}"/>
            </a:ext>
          </a:extLst>
        </xdr:cNvPr>
        <xdr:cNvSpPr>
          <a:spLocks noChangeShapeType="1"/>
        </xdr:cNvSpPr>
      </xdr:nvSpPr>
      <xdr:spPr bwMode="auto">
        <a:xfrm>
          <a:off x="2463800" y="635000"/>
          <a:ext cx="381635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476250</xdr:colOff>
      <xdr:row>2</xdr:row>
      <xdr:rowOff>12700</xdr:rowOff>
    </xdr:from>
    <xdr:to>
      <xdr:col>3</xdr:col>
      <xdr:colOff>590550</xdr:colOff>
      <xdr:row>5</xdr:row>
      <xdr:rowOff>12700</xdr:rowOff>
    </xdr:to>
    <xdr:sp macro="" textlink="">
      <xdr:nvSpPr>
        <xdr:cNvPr id="545956" name="AutoShape 31">
          <a:extLst>
            <a:ext uri="{FF2B5EF4-FFF2-40B4-BE49-F238E27FC236}">
              <a16:creationId xmlns:a16="http://schemas.microsoft.com/office/drawing/2014/main" id="{B6E733A1-C98B-4591-B207-CE11C0DDB061}"/>
            </a:ext>
          </a:extLst>
        </xdr:cNvPr>
        <xdr:cNvSpPr>
          <a:spLocks/>
        </xdr:cNvSpPr>
      </xdr:nvSpPr>
      <xdr:spPr bwMode="auto">
        <a:xfrm>
          <a:off x="2324100" y="406400"/>
          <a:ext cx="114300" cy="482600"/>
        </a:xfrm>
        <a:prstGeom prst="leftBracket">
          <a:avLst>
            <a:gd name="adj" fmla="val 35185"/>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9</xdr:col>
      <xdr:colOff>673100</xdr:colOff>
      <xdr:row>2</xdr:row>
      <xdr:rowOff>0</xdr:rowOff>
    </xdr:from>
    <xdr:to>
      <xdr:col>10</xdr:col>
      <xdr:colOff>101600</xdr:colOff>
      <xdr:row>4</xdr:row>
      <xdr:rowOff>152400</xdr:rowOff>
    </xdr:to>
    <xdr:sp macro="" textlink="">
      <xdr:nvSpPr>
        <xdr:cNvPr id="545957" name="AutoShape 32">
          <a:extLst>
            <a:ext uri="{FF2B5EF4-FFF2-40B4-BE49-F238E27FC236}">
              <a16:creationId xmlns:a16="http://schemas.microsoft.com/office/drawing/2014/main" id="{AF6642E3-A53E-4E79-A8AC-1A71898D4A16}"/>
            </a:ext>
          </a:extLst>
        </xdr:cNvPr>
        <xdr:cNvSpPr>
          <a:spLocks/>
        </xdr:cNvSpPr>
      </xdr:nvSpPr>
      <xdr:spPr bwMode="auto">
        <a:xfrm>
          <a:off x="6254750" y="393700"/>
          <a:ext cx="114300" cy="469900"/>
        </a:xfrm>
        <a:prstGeom prst="rightBracket">
          <a:avLst>
            <a:gd name="adj" fmla="val 34259"/>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7</xdr:row>
      <xdr:rowOff>82550</xdr:rowOff>
    </xdr:from>
    <xdr:to>
      <xdr:col>5</xdr:col>
      <xdr:colOff>0</xdr:colOff>
      <xdr:row>8</xdr:row>
      <xdr:rowOff>76200</xdr:rowOff>
    </xdr:to>
    <xdr:sp macro="" textlink="">
      <xdr:nvSpPr>
        <xdr:cNvPr id="545958" name="Line 33">
          <a:extLst>
            <a:ext uri="{FF2B5EF4-FFF2-40B4-BE49-F238E27FC236}">
              <a16:creationId xmlns:a16="http://schemas.microsoft.com/office/drawing/2014/main" id="{F2E4275C-D43B-4705-94A9-1D8F3FE9F720}"/>
            </a:ext>
          </a:extLst>
        </xdr:cNvPr>
        <xdr:cNvSpPr>
          <a:spLocks noChangeShapeType="1"/>
        </xdr:cNvSpPr>
      </xdr:nvSpPr>
      <xdr:spPr bwMode="auto">
        <a:xfrm>
          <a:off x="3079750" y="1276350"/>
          <a:ext cx="0" cy="152400"/>
        </a:xfrm>
        <a:prstGeom prst="line">
          <a:avLst/>
        </a:prstGeom>
        <a:noFill/>
        <a:ln w="9525">
          <a:solidFill>
            <a:srgbClr val="000000"/>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0</xdr:colOff>
      <xdr:row>13</xdr:row>
      <xdr:rowOff>107950</xdr:rowOff>
    </xdr:from>
    <xdr:to>
      <xdr:col>5</xdr:col>
      <xdr:colOff>0</xdr:colOff>
      <xdr:row>18</xdr:row>
      <xdr:rowOff>50800</xdr:rowOff>
    </xdr:to>
    <xdr:sp macro="" textlink="">
      <xdr:nvSpPr>
        <xdr:cNvPr id="545959" name="Line 34">
          <a:extLst>
            <a:ext uri="{FF2B5EF4-FFF2-40B4-BE49-F238E27FC236}">
              <a16:creationId xmlns:a16="http://schemas.microsoft.com/office/drawing/2014/main" id="{5D3D4C84-C7F3-4B28-A9BD-E9DEFF876A13}"/>
            </a:ext>
          </a:extLst>
        </xdr:cNvPr>
        <xdr:cNvSpPr>
          <a:spLocks noChangeShapeType="1"/>
        </xdr:cNvSpPr>
      </xdr:nvSpPr>
      <xdr:spPr bwMode="auto">
        <a:xfrm>
          <a:off x="3079750" y="2260600"/>
          <a:ext cx="0" cy="736600"/>
        </a:xfrm>
        <a:prstGeom prst="line">
          <a:avLst/>
        </a:prstGeom>
        <a:noFill/>
        <a:ln w="9525">
          <a:solidFill>
            <a:srgbClr val="000000"/>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9</xdr:col>
      <xdr:colOff>673100</xdr:colOff>
      <xdr:row>80</xdr:row>
      <xdr:rowOff>82550</xdr:rowOff>
    </xdr:from>
    <xdr:to>
      <xdr:col>11</xdr:col>
      <xdr:colOff>0</xdr:colOff>
      <xdr:row>80</xdr:row>
      <xdr:rowOff>82550</xdr:rowOff>
    </xdr:to>
    <xdr:sp macro="" textlink="">
      <xdr:nvSpPr>
        <xdr:cNvPr id="545960" name="Line 35">
          <a:extLst>
            <a:ext uri="{FF2B5EF4-FFF2-40B4-BE49-F238E27FC236}">
              <a16:creationId xmlns:a16="http://schemas.microsoft.com/office/drawing/2014/main" id="{8F541966-38C5-4000-ABDC-A4FBDB2CB2E4}"/>
            </a:ext>
          </a:extLst>
        </xdr:cNvPr>
        <xdr:cNvSpPr>
          <a:spLocks noChangeShapeType="1"/>
        </xdr:cNvSpPr>
      </xdr:nvSpPr>
      <xdr:spPr bwMode="auto">
        <a:xfrm flipH="1">
          <a:off x="6254750" y="13068300"/>
          <a:ext cx="6286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14</xdr:col>
      <xdr:colOff>127000</xdr:colOff>
      <xdr:row>32</xdr:row>
      <xdr:rowOff>82550</xdr:rowOff>
    </xdr:from>
    <xdr:to>
      <xdr:col>15</xdr:col>
      <xdr:colOff>0</xdr:colOff>
      <xdr:row>32</xdr:row>
      <xdr:rowOff>82550</xdr:rowOff>
    </xdr:to>
    <xdr:sp macro="" textlink="">
      <xdr:nvSpPr>
        <xdr:cNvPr id="545961" name="Line 36">
          <a:extLst>
            <a:ext uri="{FF2B5EF4-FFF2-40B4-BE49-F238E27FC236}">
              <a16:creationId xmlns:a16="http://schemas.microsoft.com/office/drawing/2014/main" id="{3EF35224-EFCE-46B2-B7D6-8A7EC9F2F5D8}"/>
            </a:ext>
          </a:extLst>
        </xdr:cNvPr>
        <xdr:cNvSpPr>
          <a:spLocks noChangeShapeType="1"/>
        </xdr:cNvSpPr>
      </xdr:nvSpPr>
      <xdr:spPr bwMode="auto">
        <a:xfrm flipH="1">
          <a:off x="8858250" y="5289550"/>
          <a:ext cx="6667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10</xdr:col>
      <xdr:colOff>57150</xdr:colOff>
      <xdr:row>95</xdr:row>
      <xdr:rowOff>12700</xdr:rowOff>
    </xdr:from>
    <xdr:to>
      <xdr:col>10</xdr:col>
      <xdr:colOff>304800</xdr:colOff>
      <xdr:row>97</xdr:row>
      <xdr:rowOff>139700</xdr:rowOff>
    </xdr:to>
    <xdr:sp macro="" textlink="">
      <xdr:nvSpPr>
        <xdr:cNvPr id="545962" name="AutoShape 37">
          <a:extLst>
            <a:ext uri="{FF2B5EF4-FFF2-40B4-BE49-F238E27FC236}">
              <a16:creationId xmlns:a16="http://schemas.microsoft.com/office/drawing/2014/main" id="{BDC9CECC-8D89-412D-B36E-343FAC3A0838}"/>
            </a:ext>
          </a:extLst>
        </xdr:cNvPr>
        <xdr:cNvSpPr>
          <a:spLocks/>
        </xdr:cNvSpPr>
      </xdr:nvSpPr>
      <xdr:spPr bwMode="auto">
        <a:xfrm>
          <a:off x="6324600" y="15386050"/>
          <a:ext cx="247650" cy="457200"/>
        </a:xfrm>
        <a:prstGeom prst="rightBrace">
          <a:avLst>
            <a:gd name="adj1" fmla="val 15385"/>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266700</xdr:colOff>
      <xdr:row>96</xdr:row>
      <xdr:rowOff>82550</xdr:rowOff>
    </xdr:from>
    <xdr:to>
      <xdr:col>10</xdr:col>
      <xdr:colOff>603250</xdr:colOff>
      <xdr:row>96</xdr:row>
      <xdr:rowOff>82550</xdr:rowOff>
    </xdr:to>
    <xdr:sp macro="" textlink="">
      <xdr:nvSpPr>
        <xdr:cNvPr id="545963" name="Line 38">
          <a:extLst>
            <a:ext uri="{FF2B5EF4-FFF2-40B4-BE49-F238E27FC236}">
              <a16:creationId xmlns:a16="http://schemas.microsoft.com/office/drawing/2014/main" id="{08EB989F-B75F-4F80-8B70-717FCD13A773}"/>
            </a:ext>
          </a:extLst>
        </xdr:cNvPr>
        <xdr:cNvSpPr>
          <a:spLocks noChangeShapeType="1"/>
        </xdr:cNvSpPr>
      </xdr:nvSpPr>
      <xdr:spPr bwMode="auto">
        <a:xfrm flipH="1">
          <a:off x="6534150" y="15621000"/>
          <a:ext cx="3365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10</xdr:col>
      <xdr:colOff>57150</xdr:colOff>
      <xdr:row>84</xdr:row>
      <xdr:rowOff>12700</xdr:rowOff>
    </xdr:from>
    <xdr:to>
      <xdr:col>10</xdr:col>
      <xdr:colOff>304800</xdr:colOff>
      <xdr:row>86</xdr:row>
      <xdr:rowOff>133350</xdr:rowOff>
    </xdr:to>
    <xdr:sp macro="" textlink="">
      <xdr:nvSpPr>
        <xdr:cNvPr id="545964" name="AutoShape 40">
          <a:extLst>
            <a:ext uri="{FF2B5EF4-FFF2-40B4-BE49-F238E27FC236}">
              <a16:creationId xmlns:a16="http://schemas.microsoft.com/office/drawing/2014/main" id="{0B1F47A8-D234-4347-AD62-410F66649FFA}"/>
            </a:ext>
          </a:extLst>
        </xdr:cNvPr>
        <xdr:cNvSpPr>
          <a:spLocks/>
        </xdr:cNvSpPr>
      </xdr:nvSpPr>
      <xdr:spPr bwMode="auto">
        <a:xfrm>
          <a:off x="6324600" y="13633450"/>
          <a:ext cx="247650" cy="444500"/>
        </a:xfrm>
        <a:prstGeom prst="rightBrace">
          <a:avLst>
            <a:gd name="adj1" fmla="val 14957"/>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311150</xdr:colOff>
      <xdr:row>85</xdr:row>
      <xdr:rowOff>63500</xdr:rowOff>
    </xdr:from>
    <xdr:to>
      <xdr:col>10</xdr:col>
      <xdr:colOff>603250</xdr:colOff>
      <xdr:row>85</xdr:row>
      <xdr:rowOff>63500</xdr:rowOff>
    </xdr:to>
    <xdr:sp macro="" textlink="">
      <xdr:nvSpPr>
        <xdr:cNvPr id="545965" name="Line 41">
          <a:extLst>
            <a:ext uri="{FF2B5EF4-FFF2-40B4-BE49-F238E27FC236}">
              <a16:creationId xmlns:a16="http://schemas.microsoft.com/office/drawing/2014/main" id="{B2B558C7-98C3-4C13-8971-C6F6E617EE43}"/>
            </a:ext>
          </a:extLst>
        </xdr:cNvPr>
        <xdr:cNvSpPr>
          <a:spLocks noChangeShapeType="1"/>
        </xdr:cNvSpPr>
      </xdr:nvSpPr>
      <xdr:spPr bwMode="auto">
        <a:xfrm flipH="1">
          <a:off x="6578600" y="13849350"/>
          <a:ext cx="2921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12.vml"/><Relationship Id="rId2" Type="http://schemas.openxmlformats.org/officeDocument/2006/relationships/drawing" Target="../drawings/drawing12.xml"/><Relationship Id="rId1" Type="http://schemas.openxmlformats.org/officeDocument/2006/relationships/printerSettings" Target="../printerSettings/printerSettings4.bin"/><Relationship Id="rId4" Type="http://schemas.openxmlformats.org/officeDocument/2006/relationships/comments" Target="../comments12.xml"/></Relationships>
</file>

<file path=xl/worksheets/_rels/sheet13.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14.vml"/><Relationship Id="rId2" Type="http://schemas.openxmlformats.org/officeDocument/2006/relationships/drawing" Target="../drawings/drawing14.xml"/><Relationship Id="rId1" Type="http://schemas.openxmlformats.org/officeDocument/2006/relationships/printerSettings" Target="../printerSettings/printerSettings5.bin"/><Relationship Id="rId4" Type="http://schemas.openxmlformats.org/officeDocument/2006/relationships/comments" Target="../comments14.xml"/></Relationships>
</file>

<file path=xl/worksheets/_rels/sheet15.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5.vml"/><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6.vml"/><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8" Type="http://schemas.openxmlformats.org/officeDocument/2006/relationships/comments" Target="../comments17.xml"/><Relationship Id="rId3" Type="http://schemas.openxmlformats.org/officeDocument/2006/relationships/hyperlink" Target="http://www.radio-ware.com/products/techinfo/coax.loss.htm" TargetMode="External"/><Relationship Id="rId7" Type="http://schemas.openxmlformats.org/officeDocument/2006/relationships/vmlDrawing" Target="../drawings/vmlDrawing17.vml"/><Relationship Id="rId2" Type="http://schemas.openxmlformats.org/officeDocument/2006/relationships/hyperlink" Target="http://www.ocarc.ca/coax.htm" TargetMode="External"/><Relationship Id="rId1" Type="http://schemas.openxmlformats.org/officeDocument/2006/relationships/hyperlink" Target="http://www.timesmicrowave.com/cgi-bin/calculate.pl" TargetMode="External"/><Relationship Id="rId6" Type="http://schemas.openxmlformats.org/officeDocument/2006/relationships/hyperlink" Target="http://www.advancedmicrowave.com/products/product_frame.htm" TargetMode="External"/><Relationship Id="rId5" Type="http://schemas.openxmlformats.org/officeDocument/2006/relationships/hyperlink" Target="http://www.microwaves101.com/encyclopedia/waveguide.cfm" TargetMode="External"/><Relationship Id="rId4" Type="http://schemas.openxmlformats.org/officeDocument/2006/relationships/hyperlink" Target="http://www.meteorscatter.net/cable.htm" TargetMode="External"/></Relationships>
</file>

<file path=xl/worksheets/_rels/sheet19.xml.rels><?xml version="1.0" encoding="UTF-8" standalone="yes"?>
<Relationships xmlns="http://schemas.openxmlformats.org/package/2006/relationships"><Relationship Id="rId3" Type="http://schemas.openxmlformats.org/officeDocument/2006/relationships/comments" Target="../comments18.xml"/><Relationship Id="rId2" Type="http://schemas.openxmlformats.org/officeDocument/2006/relationships/vmlDrawing" Target="../drawings/vmlDrawing18.vml"/><Relationship Id="rId1" Type="http://schemas.openxmlformats.org/officeDocument/2006/relationships/drawing" Target="../drawings/drawing18.x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20.xml.rels><?xml version="1.0" encoding="UTF-8" standalone="yes"?>
<Relationships xmlns="http://schemas.openxmlformats.org/package/2006/relationships"><Relationship Id="rId2" Type="http://schemas.openxmlformats.org/officeDocument/2006/relationships/comments" Target="../comments19.xml"/><Relationship Id="rId1" Type="http://schemas.openxmlformats.org/officeDocument/2006/relationships/vmlDrawing" Target="../drawings/vmlDrawing19.vml"/></Relationships>
</file>

<file path=xl/worksheets/_rels/sheet21.xml.rels><?xml version="1.0" encoding="UTF-8" standalone="yes"?>
<Relationships xmlns="http://schemas.openxmlformats.org/package/2006/relationships"><Relationship Id="rId2" Type="http://schemas.openxmlformats.org/officeDocument/2006/relationships/comments" Target="../comments20.xml"/><Relationship Id="rId1" Type="http://schemas.openxmlformats.org/officeDocument/2006/relationships/vmlDrawing" Target="../drawings/vmlDrawing20.v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2.bin"/><Relationship Id="rId1" Type="http://schemas.openxmlformats.org/officeDocument/2006/relationships/hyperlink" Target="https://github.com/oresat/oresat-c3-rf/tree/master/block-diagrams" TargetMode="External"/><Relationship Id="rId5" Type="http://schemas.openxmlformats.org/officeDocument/2006/relationships/comments" Target="../comments5.xml"/><Relationship Id="rId4"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github.com/oresat/oresat-c3-rf/tree/master/block-diagrams" TargetMode="External"/><Relationship Id="rId1" Type="http://schemas.openxmlformats.org/officeDocument/2006/relationships/hyperlink" Target="https://github.com/oresat/oresat-c3-rf/tree/master/block-diagrams" TargetMode="External"/><Relationship Id="rId6" Type="http://schemas.openxmlformats.org/officeDocument/2006/relationships/comments" Target="../comments6.xml"/><Relationship Id="rId5" Type="http://schemas.openxmlformats.org/officeDocument/2006/relationships/vmlDrawing" Target="../drawings/vmlDrawing6.vml"/><Relationship Id="rId4"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indexed="10"/>
  </sheetPr>
  <dimension ref="A1:P53"/>
  <sheetViews>
    <sheetView tabSelected="1" zoomScale="120" zoomScaleNormal="120" workbookViewId="0">
      <selection activeCell="F3" sqref="F3"/>
    </sheetView>
  </sheetViews>
  <sheetFormatPr defaultColWidth="8.81640625" defaultRowHeight="12.5"/>
  <cols>
    <col min="3" max="3" width="7.453125" customWidth="1"/>
    <col min="5" max="5" width="16.1796875" customWidth="1"/>
    <col min="6" max="6" width="68.81640625" customWidth="1"/>
    <col min="8" max="8" width="8.453125" customWidth="1"/>
    <col min="9" max="9" width="3.54296875" customWidth="1"/>
    <col min="10" max="10" width="2.453125" customWidth="1"/>
  </cols>
  <sheetData>
    <row r="1" spans="1:16" ht="25.5" thickBot="1">
      <c r="A1" s="883" t="s">
        <v>715</v>
      </c>
      <c r="B1" s="884"/>
      <c r="C1" s="883"/>
      <c r="D1" s="885"/>
      <c r="E1" s="884"/>
      <c r="F1" s="886" t="s">
        <v>583</v>
      </c>
      <c r="G1" s="1049" t="s">
        <v>933</v>
      </c>
      <c r="H1" s="1050"/>
      <c r="I1" s="1046" t="s">
        <v>959</v>
      </c>
      <c r="J1" s="1047"/>
      <c r="K1" s="1047"/>
      <c r="L1" s="1047"/>
      <c r="M1" s="1048"/>
      <c r="N1" s="556"/>
      <c r="O1" s="127"/>
      <c r="P1" s="127"/>
    </row>
    <row r="2" spans="1:16" ht="25">
      <c r="A2" s="52"/>
      <c r="B2" s="57" t="s">
        <v>477</v>
      </c>
      <c r="C2" s="53"/>
      <c r="D2" s="53"/>
      <c r="E2" s="53"/>
      <c r="F2" s="56" t="s">
        <v>943</v>
      </c>
      <c r="G2" s="54"/>
      <c r="H2" s="55"/>
      <c r="I2" s="55"/>
      <c r="J2" s="55"/>
      <c r="K2" s="55"/>
      <c r="L2" s="55"/>
      <c r="M2" s="55"/>
      <c r="N2" s="44"/>
      <c r="O2" s="44"/>
      <c r="P2" s="44"/>
    </row>
    <row r="3" spans="1:16" ht="25">
      <c r="A3" s="52"/>
      <c r="B3" s="57" t="s">
        <v>833</v>
      </c>
      <c r="C3" s="53"/>
      <c r="D3" s="53"/>
      <c r="E3" s="53"/>
      <c r="F3" s="56" t="s">
        <v>942</v>
      </c>
      <c r="G3" s="54"/>
      <c r="H3" s="55"/>
      <c r="I3" s="55"/>
      <c r="J3" s="55"/>
      <c r="K3" s="55"/>
      <c r="L3" s="55"/>
      <c r="M3" s="55"/>
      <c r="N3" s="44"/>
      <c r="O3" s="44"/>
      <c r="P3" s="44"/>
    </row>
    <row r="4" spans="1:16" ht="13">
      <c r="A4" s="1" t="s">
        <v>936</v>
      </c>
      <c r="B4" s="2"/>
      <c r="C4" s="2"/>
      <c r="D4" s="2"/>
      <c r="E4" s="2"/>
      <c r="F4" s="2"/>
      <c r="G4" s="2"/>
      <c r="H4" s="2"/>
      <c r="I4" s="2"/>
      <c r="J4" s="2"/>
      <c r="K4" s="2"/>
      <c r="L4" s="2"/>
      <c r="M4" s="2"/>
      <c r="N4" s="2"/>
      <c r="O4" s="2"/>
      <c r="P4" s="2"/>
    </row>
    <row r="5" spans="1:16" ht="13">
      <c r="A5" s="3"/>
      <c r="B5" s="3"/>
      <c r="C5" s="3"/>
      <c r="D5" s="3"/>
      <c r="E5" s="3"/>
      <c r="F5" s="3"/>
      <c r="G5" s="557" t="s">
        <v>584</v>
      </c>
      <c r="H5" s="557"/>
      <c r="I5" s="4" t="s">
        <v>715</v>
      </c>
      <c r="J5" s="3"/>
      <c r="K5" s="3"/>
      <c r="L5" s="3"/>
      <c r="M5" s="3"/>
      <c r="N5" s="3"/>
      <c r="O5" s="3"/>
      <c r="P5" s="3"/>
    </row>
    <row r="6" spans="1:16" ht="13" thickBot="1">
      <c r="A6" s="3"/>
      <c r="B6" s="551" t="s">
        <v>577</v>
      </c>
      <c r="C6" s="3"/>
      <c r="D6" s="3"/>
      <c r="E6" s="3"/>
      <c r="F6" s="3" t="s">
        <v>710</v>
      </c>
      <c r="G6" s="3"/>
      <c r="H6" s="3"/>
      <c r="I6" s="3"/>
      <c r="J6" s="3"/>
      <c r="K6" s="345" t="s">
        <v>591</v>
      </c>
      <c r="L6" s="3"/>
      <c r="M6" s="3"/>
      <c r="N6" s="3"/>
      <c r="O6" s="3"/>
      <c r="P6" s="3"/>
    </row>
    <row r="7" spans="1:16" ht="16" thickBot="1">
      <c r="A7" s="3"/>
      <c r="B7" s="3"/>
      <c r="C7" s="3"/>
      <c r="D7" s="4" t="s">
        <v>828</v>
      </c>
      <c r="E7" s="3"/>
      <c r="F7" s="897" t="s">
        <v>940</v>
      </c>
      <c r="G7" s="3"/>
      <c r="H7" s="3"/>
      <c r="I7" s="35"/>
      <c r="J7" s="3"/>
      <c r="K7" s="3" t="s">
        <v>585</v>
      </c>
      <c r="L7" s="3"/>
      <c r="M7" s="3"/>
      <c r="N7" s="3"/>
      <c r="O7" s="3"/>
      <c r="P7" s="3"/>
    </row>
    <row r="8" spans="1:16" ht="15.5">
      <c r="A8" s="3"/>
      <c r="B8" s="3"/>
      <c r="C8" s="3"/>
      <c r="D8" s="3"/>
      <c r="E8" s="3"/>
      <c r="F8" s="6"/>
      <c r="G8" s="3"/>
      <c r="H8" s="3"/>
      <c r="I8" s="3"/>
      <c r="J8" s="3"/>
      <c r="K8" s="3"/>
      <c r="L8" s="3"/>
      <c r="M8" s="3"/>
      <c r="N8" s="3"/>
      <c r="O8" s="3"/>
      <c r="P8" s="3"/>
    </row>
    <row r="9" spans="1:16" ht="13" thickBot="1">
      <c r="A9" s="3"/>
      <c r="B9" s="345" t="s">
        <v>578</v>
      </c>
      <c r="C9" s="3"/>
      <c r="D9" s="3"/>
      <c r="E9" s="3"/>
      <c r="F9" s="12" t="s">
        <v>711</v>
      </c>
      <c r="G9" s="3"/>
      <c r="H9" s="3"/>
      <c r="I9" s="3"/>
      <c r="J9" s="3"/>
      <c r="K9" s="3"/>
      <c r="L9" s="3"/>
      <c r="M9" s="3"/>
      <c r="N9" s="3"/>
      <c r="O9" s="3"/>
      <c r="P9" s="3"/>
    </row>
    <row r="10" spans="1:16" ht="16" thickBot="1">
      <c r="A10" s="3"/>
      <c r="B10" s="3"/>
      <c r="C10" s="3"/>
      <c r="D10" s="4" t="s">
        <v>829</v>
      </c>
      <c r="E10" s="3"/>
      <c r="F10" s="896" t="s">
        <v>939</v>
      </c>
      <c r="G10" s="3"/>
      <c r="H10" s="3"/>
      <c r="I10" s="35"/>
      <c r="J10" s="3"/>
      <c r="K10" s="553" t="s">
        <v>586</v>
      </c>
      <c r="L10" s="3"/>
      <c r="M10" s="3"/>
      <c r="N10" s="3"/>
      <c r="O10" s="3"/>
      <c r="P10" s="3"/>
    </row>
    <row r="11" spans="1:16" ht="15.5">
      <c r="A11" s="3"/>
      <c r="B11" s="3"/>
      <c r="C11" s="3"/>
      <c r="D11" s="3"/>
      <c r="E11" s="3"/>
      <c r="F11" s="6"/>
      <c r="G11" s="3"/>
      <c r="H11" s="3"/>
      <c r="I11" s="3"/>
      <c r="J11" s="3"/>
      <c r="K11" s="3"/>
      <c r="L11" s="3"/>
      <c r="M11" s="3"/>
      <c r="N11" s="3"/>
      <c r="O11" s="3"/>
      <c r="P11" s="3"/>
    </row>
    <row r="12" spans="1:16" ht="16" thickBot="1">
      <c r="A12" s="3"/>
      <c r="B12" s="3"/>
      <c r="C12" s="3"/>
      <c r="D12" s="3"/>
      <c r="E12" s="3"/>
      <c r="F12" s="6"/>
      <c r="G12" s="3"/>
      <c r="H12" s="3"/>
      <c r="I12" s="3"/>
      <c r="J12" s="3"/>
      <c r="K12" s="3"/>
      <c r="L12" s="3"/>
      <c r="M12" s="3"/>
      <c r="N12" s="554" t="s">
        <v>715</v>
      </c>
      <c r="O12" s="102"/>
      <c r="P12" s="101"/>
    </row>
    <row r="13" spans="1:16" ht="15.5">
      <c r="A13" s="3"/>
      <c r="B13" s="345" t="s">
        <v>579</v>
      </c>
      <c r="C13" s="3"/>
      <c r="D13" s="4" t="s">
        <v>712</v>
      </c>
      <c r="E13" s="3"/>
      <c r="F13" s="892" t="s">
        <v>938</v>
      </c>
      <c r="G13" s="3"/>
      <c r="H13" s="3"/>
      <c r="I13" s="3"/>
      <c r="J13" s="3"/>
      <c r="K13" s="3"/>
      <c r="L13" s="3"/>
      <c r="M13" s="3"/>
      <c r="N13" s="101" t="s">
        <v>715</v>
      </c>
      <c r="O13" s="3"/>
      <c r="P13" s="3"/>
    </row>
    <row r="14" spans="1:16" ht="16" thickBot="1">
      <c r="A14" s="3"/>
      <c r="B14" s="3"/>
      <c r="C14" s="3"/>
      <c r="D14" s="3"/>
      <c r="E14" s="3"/>
      <c r="F14" s="893" t="s">
        <v>521</v>
      </c>
      <c r="G14" s="3"/>
      <c r="H14" s="3"/>
      <c r="I14" s="3"/>
      <c r="J14" s="3"/>
      <c r="K14" s="3"/>
      <c r="L14" s="3"/>
      <c r="M14" s="3"/>
      <c r="N14" s="3"/>
      <c r="O14" s="3"/>
      <c r="P14" s="3"/>
    </row>
    <row r="15" spans="1:16" ht="16" thickBot="1">
      <c r="A15" s="3"/>
      <c r="B15" s="3"/>
      <c r="C15" s="3"/>
      <c r="D15" s="3"/>
      <c r="E15" s="3"/>
      <c r="F15" s="6"/>
      <c r="G15" s="3"/>
      <c r="H15" s="3"/>
      <c r="I15" s="3"/>
      <c r="J15" s="3"/>
      <c r="K15" s="3"/>
      <c r="L15" s="3"/>
      <c r="M15" s="3"/>
      <c r="N15" s="3"/>
      <c r="O15" s="3"/>
      <c r="P15" s="3"/>
    </row>
    <row r="16" spans="1:16" ht="13">
      <c r="A16" s="3"/>
      <c r="B16" s="552" t="s">
        <v>580</v>
      </c>
      <c r="C16" s="3"/>
      <c r="D16" s="4" t="s">
        <v>831</v>
      </c>
      <c r="E16" s="3"/>
      <c r="F16" s="894" t="s">
        <v>1063</v>
      </c>
      <c r="G16" s="3"/>
      <c r="H16" s="3"/>
      <c r="I16" s="3"/>
      <c r="J16" s="3"/>
      <c r="K16" s="3"/>
      <c r="L16" s="3"/>
      <c r="M16" s="3"/>
      <c r="N16" s="3"/>
      <c r="O16" s="3"/>
      <c r="P16" s="3"/>
    </row>
    <row r="17" spans="1:16" ht="16" thickBot="1">
      <c r="A17" s="3"/>
      <c r="B17" s="3"/>
      <c r="C17" s="3"/>
      <c r="D17" s="4" t="s">
        <v>830</v>
      </c>
      <c r="E17" s="3"/>
      <c r="F17" s="895" t="s">
        <v>941</v>
      </c>
      <c r="G17" s="3"/>
      <c r="H17" s="3"/>
      <c r="I17" s="3"/>
      <c r="J17" s="3"/>
      <c r="K17" s="3"/>
      <c r="L17" s="3"/>
      <c r="M17" s="3"/>
      <c r="N17" s="3"/>
      <c r="O17" s="3"/>
      <c r="P17" s="3"/>
    </row>
    <row r="18" spans="1:16" ht="15.5">
      <c r="A18" s="3"/>
      <c r="B18" s="3"/>
      <c r="C18" s="3"/>
      <c r="D18" s="3"/>
      <c r="E18" s="3"/>
      <c r="F18" s="7"/>
      <c r="G18" s="3"/>
      <c r="H18" s="3"/>
      <c r="I18" s="3"/>
      <c r="J18" s="3"/>
      <c r="K18" s="3"/>
      <c r="L18" s="3"/>
      <c r="M18" s="3"/>
      <c r="N18" s="3"/>
      <c r="O18" s="3"/>
      <c r="P18" s="3"/>
    </row>
    <row r="19" spans="1:16" ht="16" thickBot="1">
      <c r="A19" s="3"/>
      <c r="B19" s="3"/>
      <c r="C19" s="3"/>
      <c r="D19" s="3"/>
      <c r="E19" s="3"/>
      <c r="F19" s="6"/>
      <c r="G19" s="3"/>
      <c r="H19" s="3"/>
      <c r="I19" s="3"/>
      <c r="J19" s="3"/>
      <c r="K19" s="3"/>
      <c r="L19" s="3"/>
      <c r="M19" s="3"/>
      <c r="N19" s="3"/>
      <c r="O19" s="3"/>
      <c r="P19" s="3"/>
    </row>
    <row r="20" spans="1:16" ht="16" thickBot="1">
      <c r="A20" s="3"/>
      <c r="B20" s="345" t="s">
        <v>581</v>
      </c>
      <c r="C20" s="3"/>
      <c r="D20" s="4" t="s">
        <v>713</v>
      </c>
      <c r="E20" s="3"/>
      <c r="F20" s="5" t="s">
        <v>1025</v>
      </c>
      <c r="G20" s="3"/>
      <c r="H20" s="3"/>
      <c r="I20" s="35" t="s">
        <v>715</v>
      </c>
      <c r="J20" s="3"/>
      <c r="K20" s="3" t="s">
        <v>590</v>
      </c>
      <c r="L20" s="3"/>
      <c r="M20" s="3"/>
      <c r="N20" s="3"/>
      <c r="O20" s="3"/>
      <c r="P20" s="3"/>
    </row>
    <row r="21" spans="1:16" ht="15.5">
      <c r="A21" s="3"/>
      <c r="B21" s="3"/>
      <c r="C21" s="3"/>
      <c r="D21" s="3"/>
      <c r="E21" s="3"/>
      <c r="F21" s="6"/>
      <c r="G21" s="3"/>
      <c r="H21" s="3"/>
      <c r="I21" s="3"/>
      <c r="J21" s="3"/>
      <c r="K21" s="3"/>
      <c r="L21" s="3"/>
      <c r="M21" s="3"/>
      <c r="N21" s="3"/>
      <c r="O21" s="3"/>
      <c r="P21" s="3"/>
    </row>
    <row r="22" spans="1:16" ht="16" thickBot="1">
      <c r="A22" s="3"/>
      <c r="B22" s="3"/>
      <c r="C22" s="3"/>
      <c r="D22" s="3"/>
      <c r="E22" s="3"/>
      <c r="F22" s="6"/>
      <c r="G22" s="3"/>
      <c r="H22" s="3"/>
      <c r="I22" s="3"/>
      <c r="J22" s="3"/>
      <c r="K22" s="3"/>
      <c r="L22" s="3"/>
      <c r="M22" s="3"/>
      <c r="N22" s="3"/>
      <c r="O22" s="3"/>
      <c r="P22" s="3"/>
    </row>
    <row r="23" spans="1:16" ht="16" thickBot="1">
      <c r="A23" s="3"/>
      <c r="B23" s="3"/>
      <c r="C23" s="3"/>
      <c r="D23" s="4" t="s">
        <v>714</v>
      </c>
      <c r="E23" s="3"/>
      <c r="F23" s="897" t="s">
        <v>1078</v>
      </c>
      <c r="G23" s="3" t="s">
        <v>715</v>
      </c>
      <c r="H23" s="3"/>
      <c r="I23" s="555" t="b">
        <f>AND(I7="X",I10="X",I20="X")</f>
        <v>0</v>
      </c>
      <c r="J23" s="3"/>
      <c r="K23" s="3" t="str">
        <f>IF(I23=TRUE, "Document Released", "Document Not Released")</f>
        <v>Document Not Released</v>
      </c>
      <c r="L23" s="3"/>
      <c r="M23" s="3"/>
      <c r="N23" s="3"/>
      <c r="O23" s="3"/>
      <c r="P23" s="3"/>
    </row>
    <row r="24" spans="1:16">
      <c r="A24" s="3"/>
      <c r="B24" s="3"/>
      <c r="C24" s="3"/>
      <c r="D24" s="3"/>
      <c r="E24" s="3"/>
      <c r="F24" s="8"/>
      <c r="G24" s="3"/>
      <c r="H24" s="3"/>
      <c r="I24" s="643" t="s">
        <v>593</v>
      </c>
      <c r="J24" s="3"/>
      <c r="K24" s="3"/>
      <c r="L24" s="3"/>
      <c r="M24" s="3"/>
      <c r="N24" s="3"/>
      <c r="O24" s="3"/>
      <c r="P24" s="3"/>
    </row>
    <row r="25" spans="1:16" ht="13" thickBot="1">
      <c r="A25" s="3"/>
      <c r="B25" s="345" t="s">
        <v>582</v>
      </c>
      <c r="C25" s="3"/>
      <c r="D25" s="3"/>
      <c r="E25" s="3"/>
      <c r="F25" s="8"/>
      <c r="G25" s="3"/>
      <c r="H25" s="3"/>
      <c r="I25" s="643" t="s">
        <v>592</v>
      </c>
      <c r="J25" s="3"/>
      <c r="K25" s="3"/>
      <c r="L25" s="3"/>
      <c r="M25" s="3"/>
      <c r="N25" s="3"/>
      <c r="O25" s="3"/>
      <c r="P25" s="3"/>
    </row>
    <row r="26" spans="1:16" ht="16" thickBot="1">
      <c r="A26" s="3"/>
      <c r="B26" s="3"/>
      <c r="C26" s="3"/>
      <c r="D26" s="4" t="s">
        <v>838</v>
      </c>
      <c r="E26" s="3"/>
      <c r="F26" s="897" t="s">
        <v>1038</v>
      </c>
      <c r="G26" s="3"/>
      <c r="H26" s="3"/>
      <c r="I26" s="3"/>
      <c r="J26" s="466"/>
      <c r="K26" s="345" t="s">
        <v>605</v>
      </c>
      <c r="L26" s="3"/>
      <c r="M26" s="3"/>
      <c r="N26" s="3"/>
      <c r="O26" s="3"/>
      <c r="P26" s="3"/>
    </row>
    <row r="27" spans="1:16" ht="13">
      <c r="A27" s="3"/>
      <c r="B27" s="3"/>
      <c r="C27" s="3"/>
      <c r="D27" s="4" t="s">
        <v>832</v>
      </c>
      <c r="E27" s="3"/>
      <c r="F27" s="3"/>
      <c r="G27" s="3"/>
      <c r="H27" s="3"/>
      <c r="I27" s="3"/>
      <c r="J27" s="3"/>
      <c r="K27" s="3"/>
      <c r="L27" s="3"/>
      <c r="M27" s="3"/>
      <c r="N27" s="3"/>
      <c r="O27" s="3"/>
      <c r="P27" s="3"/>
    </row>
    <row r="28" spans="1:16">
      <c r="A28" s="3"/>
      <c r="B28" s="3"/>
      <c r="C28" s="3"/>
      <c r="D28" s="3"/>
      <c r="E28" s="3"/>
      <c r="F28" s="3"/>
      <c r="G28" s="3"/>
      <c r="H28" s="3"/>
      <c r="I28" s="3"/>
      <c r="J28" s="3"/>
      <c r="K28" s="3"/>
      <c r="L28" s="3"/>
      <c r="M28" s="3"/>
      <c r="N28" s="3"/>
      <c r="O28" s="3"/>
      <c r="P28" s="3"/>
    </row>
    <row r="29" spans="1:16">
      <c r="A29" s="3"/>
      <c r="B29" s="3"/>
      <c r="C29" s="3"/>
      <c r="D29" s="3"/>
      <c r="E29" s="3"/>
      <c r="F29" s="3"/>
      <c r="G29" s="3"/>
      <c r="H29" s="3"/>
      <c r="I29" s="3"/>
      <c r="J29" s="3"/>
      <c r="K29" s="3"/>
      <c r="L29" s="3"/>
      <c r="M29" s="3"/>
      <c r="N29" s="3"/>
      <c r="O29" s="3"/>
      <c r="P29" s="3"/>
    </row>
    <row r="30" spans="1:16">
      <c r="A30" s="3"/>
      <c r="B30" s="3"/>
      <c r="C30" s="3"/>
      <c r="D30" s="3"/>
      <c r="E30" s="3"/>
      <c r="F30" s="3"/>
      <c r="G30" s="3"/>
      <c r="H30" s="3"/>
      <c r="I30" s="3"/>
      <c r="J30" s="3"/>
      <c r="K30" s="3"/>
      <c r="L30" s="3"/>
      <c r="M30" s="3"/>
      <c r="N30" s="3"/>
      <c r="O30" s="3"/>
      <c r="P30" s="3"/>
    </row>
    <row r="31" spans="1:16">
      <c r="A31" s="3"/>
      <c r="B31" s="3"/>
      <c r="C31" s="3"/>
      <c r="D31" s="3"/>
      <c r="E31" s="3"/>
      <c r="F31" s="3"/>
      <c r="G31" s="3"/>
      <c r="H31" s="3"/>
      <c r="I31" s="3"/>
      <c r="J31" s="3"/>
      <c r="K31" s="3"/>
      <c r="L31" s="3"/>
      <c r="M31" s="3"/>
      <c r="N31" s="3"/>
      <c r="O31" s="3"/>
      <c r="P31" s="3"/>
    </row>
    <row r="32" spans="1:16">
      <c r="A32" s="3"/>
      <c r="B32" s="3"/>
      <c r="C32" s="3"/>
      <c r="D32" s="3"/>
      <c r="E32" s="3"/>
      <c r="F32" s="3"/>
      <c r="G32" s="3"/>
      <c r="H32" s="3"/>
      <c r="I32" s="3"/>
      <c r="J32" s="3"/>
      <c r="K32" s="3"/>
      <c r="L32" s="3"/>
      <c r="M32" s="3"/>
      <c r="N32" s="3"/>
      <c r="O32" s="3"/>
      <c r="P32" s="3"/>
    </row>
    <row r="33" spans="1:16">
      <c r="A33" s="3"/>
      <c r="B33" s="3"/>
      <c r="C33" s="3"/>
      <c r="D33" s="3"/>
      <c r="E33" s="3"/>
      <c r="F33" s="3"/>
      <c r="G33" s="3"/>
      <c r="H33" s="3"/>
      <c r="I33" s="3"/>
      <c r="J33" s="3"/>
      <c r="K33" s="3"/>
      <c r="L33" s="3"/>
      <c r="M33" s="3"/>
      <c r="N33" s="3"/>
      <c r="O33" s="3"/>
      <c r="P33" s="3"/>
    </row>
    <row r="34" spans="1:16">
      <c r="A34" s="3"/>
      <c r="B34" s="3"/>
      <c r="C34" s="3"/>
      <c r="D34" s="3"/>
      <c r="E34" s="3"/>
      <c r="F34" s="3"/>
      <c r="G34" s="3"/>
      <c r="H34" s="3"/>
      <c r="I34" s="3"/>
      <c r="J34" s="3"/>
      <c r="K34" s="3"/>
      <c r="L34" s="3"/>
      <c r="M34" s="3"/>
      <c r="N34" s="3"/>
      <c r="O34" s="3"/>
      <c r="P34" s="3"/>
    </row>
    <row r="35" spans="1:16">
      <c r="A35" s="3"/>
      <c r="B35" s="3"/>
      <c r="C35" s="3"/>
      <c r="D35" s="3"/>
      <c r="E35" s="3"/>
      <c r="F35" s="3"/>
      <c r="G35" s="3"/>
      <c r="H35" s="3"/>
      <c r="I35" s="3"/>
      <c r="J35" s="3"/>
      <c r="K35" s="3"/>
      <c r="L35" s="3"/>
      <c r="M35" s="3"/>
      <c r="N35" s="3"/>
      <c r="O35" s="3"/>
      <c r="P35" s="3"/>
    </row>
    <row r="36" spans="1:16">
      <c r="A36" s="3"/>
      <c r="B36" s="3"/>
      <c r="C36" s="3"/>
      <c r="D36" s="3"/>
      <c r="E36" s="3"/>
      <c r="F36" s="3"/>
      <c r="G36" s="3"/>
      <c r="H36" s="3"/>
      <c r="I36" s="3"/>
      <c r="J36" s="3"/>
      <c r="K36" s="3"/>
      <c r="L36" s="3"/>
      <c r="M36" s="3"/>
      <c r="N36" s="3"/>
      <c r="O36" s="3"/>
      <c r="P36" s="3"/>
    </row>
    <row r="37" spans="1:16">
      <c r="A37" s="3"/>
      <c r="B37" s="3"/>
      <c r="C37" s="3"/>
      <c r="D37" s="3"/>
      <c r="E37" s="3"/>
      <c r="F37" s="3"/>
      <c r="G37" s="3"/>
      <c r="H37" s="3"/>
      <c r="I37" s="3"/>
      <c r="J37" s="3"/>
      <c r="K37" s="3"/>
      <c r="L37" s="3"/>
      <c r="M37" s="3"/>
      <c r="N37" s="3"/>
      <c r="O37" s="3"/>
      <c r="P37" s="3"/>
    </row>
    <row r="38" spans="1:16">
      <c r="A38" s="3"/>
      <c r="B38" s="3"/>
      <c r="C38" s="3"/>
      <c r="D38" s="3"/>
      <c r="E38" s="3"/>
      <c r="F38" s="3"/>
      <c r="G38" s="3"/>
      <c r="H38" s="3"/>
      <c r="I38" s="3"/>
      <c r="J38" s="3"/>
      <c r="K38" s="3"/>
      <c r="L38" s="3"/>
      <c r="M38" s="3"/>
      <c r="N38" s="3"/>
      <c r="O38" s="3"/>
      <c r="P38" s="3"/>
    </row>
    <row r="39" spans="1:16">
      <c r="A39" s="3"/>
      <c r="B39" s="3"/>
      <c r="C39" s="3"/>
      <c r="D39" s="3"/>
      <c r="E39" s="3"/>
      <c r="F39" s="3"/>
      <c r="G39" s="3"/>
      <c r="H39" s="3"/>
      <c r="I39" s="3"/>
      <c r="J39" s="3"/>
      <c r="K39" s="3"/>
      <c r="L39" s="3"/>
      <c r="M39" s="3"/>
      <c r="N39" s="3"/>
      <c r="O39" s="3"/>
      <c r="P39" s="3"/>
    </row>
    <row r="40" spans="1:16">
      <c r="A40" s="3"/>
      <c r="B40" s="3"/>
      <c r="C40" s="3"/>
      <c r="D40" s="3"/>
      <c r="E40" s="3"/>
      <c r="F40" s="3"/>
      <c r="G40" s="3"/>
      <c r="H40" s="3"/>
      <c r="I40" s="3"/>
      <c r="J40" s="3"/>
      <c r="K40" s="3"/>
      <c r="L40" s="3"/>
      <c r="M40" s="3"/>
      <c r="N40" s="3"/>
      <c r="O40" s="3"/>
      <c r="P40" s="3"/>
    </row>
    <row r="41" spans="1:16">
      <c r="A41" s="3"/>
      <c r="B41" s="3"/>
      <c r="C41" s="3"/>
      <c r="D41" s="3"/>
      <c r="E41" s="3"/>
      <c r="F41" s="3"/>
      <c r="G41" s="3"/>
      <c r="H41" s="3"/>
      <c r="I41" s="3"/>
      <c r="J41" s="3"/>
      <c r="K41" s="3"/>
      <c r="L41" s="3"/>
      <c r="M41" s="3"/>
      <c r="N41" s="3"/>
      <c r="O41" s="3"/>
      <c r="P41" s="3"/>
    </row>
    <row r="42" spans="1:16">
      <c r="A42" s="3"/>
      <c r="B42" s="3"/>
      <c r="C42" s="3"/>
      <c r="D42" s="3"/>
      <c r="E42" s="3"/>
      <c r="F42" s="3"/>
      <c r="G42" s="3"/>
      <c r="H42" s="3"/>
      <c r="I42" s="3"/>
      <c r="J42" s="3"/>
      <c r="K42" s="3"/>
      <c r="L42" s="3"/>
      <c r="M42" s="3"/>
      <c r="N42" s="3"/>
      <c r="O42" s="3"/>
      <c r="P42" s="3"/>
    </row>
    <row r="43" spans="1:16">
      <c r="A43" s="3"/>
      <c r="B43" s="3"/>
      <c r="C43" s="3"/>
      <c r="D43" s="3"/>
      <c r="E43" s="3"/>
      <c r="F43" s="3"/>
      <c r="G43" s="3"/>
      <c r="H43" s="3"/>
      <c r="I43" s="3"/>
      <c r="J43" s="3"/>
      <c r="K43" s="3"/>
      <c r="L43" s="3"/>
      <c r="M43" s="3"/>
      <c r="N43" s="3"/>
      <c r="O43" s="3"/>
      <c r="P43" s="3"/>
    </row>
    <row r="44" spans="1:16">
      <c r="A44" s="3"/>
      <c r="B44" s="3"/>
      <c r="C44" s="3"/>
      <c r="D44" s="3"/>
      <c r="E44" s="3"/>
      <c r="F44" s="3"/>
      <c r="G44" s="3"/>
      <c r="H44" s="3"/>
      <c r="I44" s="3"/>
      <c r="J44" s="3"/>
      <c r="K44" s="3"/>
      <c r="L44" s="3"/>
      <c r="M44" s="3"/>
      <c r="N44" s="3"/>
      <c r="O44" s="3"/>
      <c r="P44" s="3"/>
    </row>
    <row r="45" spans="1:16">
      <c r="A45" s="3"/>
      <c r="B45" s="3"/>
      <c r="C45" s="3"/>
      <c r="D45" s="3"/>
      <c r="E45" s="3"/>
      <c r="F45" s="3"/>
      <c r="G45" s="3"/>
      <c r="H45" s="3"/>
      <c r="I45" s="3"/>
      <c r="J45" s="3"/>
      <c r="K45" s="3"/>
      <c r="L45" s="3"/>
      <c r="M45" s="3"/>
      <c r="N45" s="3"/>
      <c r="O45" s="3"/>
      <c r="P45" s="3"/>
    </row>
    <row r="46" spans="1:16">
      <c r="A46" s="3"/>
      <c r="B46" s="3"/>
      <c r="C46" s="3"/>
      <c r="D46" s="3"/>
      <c r="E46" s="3"/>
      <c r="F46" s="3"/>
      <c r="G46" s="3"/>
      <c r="H46" s="3"/>
      <c r="I46" s="3"/>
      <c r="J46" s="3"/>
      <c r="K46" s="3"/>
      <c r="L46" s="3"/>
      <c r="M46" s="3"/>
      <c r="N46" s="3"/>
      <c r="O46" s="3"/>
      <c r="P46" s="3"/>
    </row>
    <row r="47" spans="1:16">
      <c r="A47" s="3"/>
      <c r="B47" s="3"/>
      <c r="C47" s="3"/>
      <c r="D47" s="3"/>
      <c r="E47" s="3"/>
      <c r="F47" s="3"/>
      <c r="G47" s="3"/>
      <c r="H47" s="3"/>
      <c r="I47" s="3"/>
      <c r="J47" s="3"/>
      <c r="K47" s="3"/>
      <c r="L47" s="3"/>
      <c r="M47" s="3"/>
      <c r="N47" s="3"/>
      <c r="O47" s="3"/>
      <c r="P47" s="3"/>
    </row>
    <row r="48" spans="1:16">
      <c r="A48" s="3"/>
      <c r="B48" s="3"/>
      <c r="C48" s="3"/>
      <c r="D48" s="3"/>
      <c r="E48" s="3"/>
      <c r="F48" s="3"/>
      <c r="G48" s="3"/>
      <c r="H48" s="3"/>
      <c r="I48" s="3"/>
      <c r="J48" s="3"/>
      <c r="K48" s="3"/>
      <c r="L48" s="3"/>
      <c r="M48" s="3"/>
      <c r="N48" s="3"/>
      <c r="O48" s="3"/>
      <c r="P48" s="3"/>
    </row>
    <row r="49" spans="1:16">
      <c r="A49" s="3"/>
      <c r="B49" s="3"/>
      <c r="C49" s="3"/>
      <c r="D49" s="3"/>
      <c r="E49" s="3"/>
      <c r="F49" s="3"/>
      <c r="G49" s="3"/>
      <c r="H49" s="3"/>
      <c r="I49" s="3"/>
      <c r="J49" s="3"/>
      <c r="K49" s="3"/>
      <c r="L49" s="3"/>
      <c r="M49" s="3"/>
      <c r="N49" s="3"/>
      <c r="O49" s="3"/>
      <c r="P49" s="3"/>
    </row>
    <row r="50" spans="1:16">
      <c r="A50" s="3"/>
      <c r="B50" s="3"/>
      <c r="C50" s="3"/>
      <c r="D50" s="3"/>
      <c r="E50" s="3"/>
      <c r="F50" s="3"/>
      <c r="G50" s="3"/>
      <c r="H50" s="3"/>
      <c r="I50" s="3"/>
      <c r="J50" s="3"/>
      <c r="K50" s="3"/>
      <c r="L50" s="3"/>
      <c r="M50" s="3"/>
      <c r="N50" s="3"/>
      <c r="O50" s="3"/>
      <c r="P50" s="3"/>
    </row>
    <row r="53" spans="1:16">
      <c r="K53" t="s">
        <v>715</v>
      </c>
    </row>
  </sheetData>
  <mergeCells count="2">
    <mergeCell ref="I1:M1"/>
    <mergeCell ref="G1:H1"/>
  </mergeCells>
  <phoneticPr fontId="0" type="noConversion"/>
  <conditionalFormatting sqref="I7">
    <cfRule type="cellIs" dxfId="11" priority="1" stopIfTrue="1" operator="equal">
      <formula>"X"</formula>
    </cfRule>
    <cfRule type="cellIs" dxfId="10" priority="2" stopIfTrue="1" operator="notEqual">
      <formula>"X"</formula>
    </cfRule>
  </conditionalFormatting>
  <conditionalFormatting sqref="I10 I20">
    <cfRule type="cellIs" dxfId="9" priority="3" stopIfTrue="1" operator="equal">
      <formula>"X"</formula>
    </cfRule>
    <cfRule type="cellIs" dxfId="8" priority="4" stopIfTrue="1" operator="notEqual">
      <formula>"X"</formula>
    </cfRule>
  </conditionalFormatting>
  <conditionalFormatting sqref="I23">
    <cfRule type="expression" dxfId="7" priority="5" stopIfTrue="1">
      <formula>AND($I$7="X",$I$10="X",$I$20="X")</formula>
    </cfRule>
    <cfRule type="expression" dxfId="6" priority="6" stopIfTrue="1">
      <formula>OR($I$7=" ",$I$10=" ",$I$20=" ")</formula>
    </cfRule>
  </conditionalFormatting>
  <pageMargins left="0.75" right="0.75" top="1" bottom="1" header="0.5" footer="0.5"/>
  <pageSetup paperSize="3" orientation="landscape" horizontalDpi="96" verticalDpi="96" r:id="rId1"/>
  <headerFooter alignWithMargins="0"/>
  <drawing r:id="rId2"/>
  <legacyDrawing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tabColor indexed="13"/>
  </sheetPr>
  <dimension ref="A1:T86"/>
  <sheetViews>
    <sheetView zoomScale="120" zoomScaleNormal="120" workbookViewId="0">
      <selection activeCell="F6" sqref="F6"/>
    </sheetView>
  </sheetViews>
  <sheetFormatPr defaultColWidth="8.81640625" defaultRowHeight="12.5"/>
  <cols>
    <col min="1" max="1" width="8.54296875" customWidth="1"/>
    <col min="2" max="2" width="10.453125" customWidth="1"/>
  </cols>
  <sheetData>
    <row r="1" spans="1:20" ht="18.5" thickBot="1">
      <c r="A1" s="125" t="s">
        <v>1</v>
      </c>
      <c r="B1" s="127"/>
      <c r="C1" s="127"/>
      <c r="D1" s="127"/>
      <c r="E1" s="127"/>
      <c r="F1" s="127"/>
      <c r="G1" s="127"/>
      <c r="H1" s="613" t="str">
        <f>'Title Page'!F3</f>
        <v>OreSat - CS0</v>
      </c>
      <c r="I1" s="127"/>
      <c r="J1" s="127"/>
      <c r="K1" s="127"/>
      <c r="L1" s="127"/>
      <c r="M1" s="610" t="str">
        <f>'Title Page'!F23</f>
        <v>2019 June 21</v>
      </c>
      <c r="N1" s="127"/>
      <c r="O1" s="127"/>
      <c r="P1" s="127"/>
      <c r="Q1" s="127"/>
      <c r="R1" s="127"/>
      <c r="S1" s="127"/>
      <c r="T1" s="127"/>
    </row>
    <row r="2" spans="1:20">
      <c r="A2" s="233"/>
      <c r="B2" s="233"/>
      <c r="C2" s="233"/>
      <c r="D2" s="233"/>
      <c r="E2" s="233"/>
      <c r="F2" s="233"/>
      <c r="G2" s="233"/>
      <c r="H2" s="233"/>
      <c r="I2" s="233"/>
      <c r="J2" s="233"/>
      <c r="K2" s="233"/>
      <c r="L2" s="233"/>
      <c r="M2" s="233"/>
      <c r="N2" s="233"/>
      <c r="O2" s="233"/>
      <c r="P2" s="233"/>
      <c r="Q2" s="233"/>
    </row>
    <row r="3" spans="1:20" ht="13">
      <c r="A3" s="233"/>
      <c r="B3" s="408" t="s">
        <v>10</v>
      </c>
      <c r="C3" s="409"/>
      <c r="D3" s="409"/>
      <c r="E3" s="410"/>
      <c r="F3" s="233"/>
      <c r="G3" s="233"/>
      <c r="H3" s="394" t="s">
        <v>287</v>
      </c>
      <c r="I3" s="394"/>
      <c r="J3" s="394"/>
      <c r="K3" s="394"/>
      <c r="L3" s="394"/>
      <c r="M3" s="394"/>
      <c r="N3" s="394"/>
      <c r="O3" s="394"/>
      <c r="P3" s="233"/>
      <c r="Q3" s="233"/>
    </row>
    <row r="4" spans="1:20">
      <c r="A4" s="233"/>
      <c r="B4" s="579" t="s">
        <v>280</v>
      </c>
      <c r="C4" s="580"/>
      <c r="D4" s="101"/>
      <c r="E4" s="238"/>
      <c r="F4" s="233"/>
      <c r="G4" s="233"/>
      <c r="H4" s="233"/>
      <c r="I4" s="233"/>
      <c r="J4" s="233"/>
      <c r="K4" s="233"/>
      <c r="L4" s="233"/>
      <c r="M4" s="233"/>
      <c r="N4" s="233"/>
      <c r="O4" s="233"/>
      <c r="P4" s="233"/>
      <c r="Q4" s="233"/>
    </row>
    <row r="5" spans="1:20" ht="13">
      <c r="A5" s="233"/>
      <c r="B5" s="581" t="s">
        <v>2</v>
      </c>
      <c r="C5" s="582"/>
      <c r="D5" s="583" t="s">
        <v>3</v>
      </c>
      <c r="E5" s="584" t="s">
        <v>718</v>
      </c>
      <c r="F5" s="233"/>
      <c r="G5" s="233"/>
      <c r="H5" s="233"/>
      <c r="I5" s="233"/>
      <c r="J5" s="233"/>
      <c r="K5" s="233"/>
      <c r="L5" s="233"/>
      <c r="M5" s="233"/>
      <c r="N5" s="233"/>
      <c r="O5" s="233"/>
      <c r="P5" s="233"/>
      <c r="Q5" s="233"/>
    </row>
    <row r="6" spans="1:20">
      <c r="A6" s="233"/>
      <c r="B6" s="404">
        <v>0</v>
      </c>
      <c r="C6" s="101" t="s">
        <v>4</v>
      </c>
      <c r="D6" s="31">
        <v>10.199999999999999</v>
      </c>
      <c r="E6" s="238" t="s">
        <v>757</v>
      </c>
      <c r="F6" s="233"/>
      <c r="G6" s="233" t="s">
        <v>5</v>
      </c>
      <c r="H6" s="233"/>
      <c r="I6" s="233"/>
      <c r="J6" s="233"/>
      <c r="K6" s="233"/>
      <c r="L6" s="233"/>
      <c r="M6" s="233"/>
      <c r="N6" s="233"/>
      <c r="O6" s="233"/>
      <c r="P6" s="233"/>
      <c r="Q6" s="233"/>
    </row>
    <row r="7" spans="1:20">
      <c r="A7" s="233"/>
      <c r="B7" s="404"/>
      <c r="C7" s="101"/>
      <c r="D7" s="31"/>
      <c r="E7" s="238"/>
      <c r="F7" s="233"/>
      <c r="G7" s="233" t="s">
        <v>6</v>
      </c>
      <c r="H7" s="233"/>
      <c r="I7" s="233"/>
      <c r="J7" s="233"/>
      <c r="K7" s="233"/>
      <c r="L7" s="233"/>
      <c r="M7" s="233"/>
      <c r="N7" s="233"/>
      <c r="O7" s="233"/>
      <c r="P7" s="233"/>
      <c r="Q7" s="233"/>
    </row>
    <row r="8" spans="1:20">
      <c r="A8" s="233"/>
      <c r="B8" s="404">
        <v>2.5</v>
      </c>
      <c r="C8" s="101" t="s">
        <v>4</v>
      </c>
      <c r="D8" s="31">
        <v>4.5999999999999996</v>
      </c>
      <c r="E8" s="238" t="s">
        <v>757</v>
      </c>
      <c r="F8" s="233"/>
      <c r="G8" s="233" t="s">
        <v>34</v>
      </c>
      <c r="H8" s="233"/>
      <c r="I8" s="233"/>
      <c r="J8" s="233"/>
      <c r="K8" s="233"/>
      <c r="L8" s="233"/>
      <c r="M8" s="233"/>
      <c r="N8" s="233"/>
      <c r="O8" s="233"/>
      <c r="P8" s="233"/>
      <c r="Q8" s="233"/>
    </row>
    <row r="9" spans="1:20">
      <c r="A9" s="233"/>
      <c r="B9" s="404"/>
      <c r="C9" s="101"/>
      <c r="D9" s="31"/>
      <c r="E9" s="238"/>
      <c r="F9" s="233"/>
      <c r="G9" s="233" t="s">
        <v>7</v>
      </c>
      <c r="H9" s="233"/>
      <c r="I9" s="233"/>
      <c r="J9" s="233"/>
      <c r="K9" s="233"/>
      <c r="L9" s="233"/>
      <c r="M9" s="233"/>
      <c r="N9" s="233"/>
      <c r="O9" s="233"/>
      <c r="P9" s="233"/>
      <c r="Q9" s="233"/>
    </row>
    <row r="10" spans="1:20">
      <c r="A10" s="233"/>
      <c r="B10" s="404">
        <v>5</v>
      </c>
      <c r="C10" s="101" t="s">
        <v>4</v>
      </c>
      <c r="D10" s="31">
        <v>2.1</v>
      </c>
      <c r="E10" s="238" t="s">
        <v>757</v>
      </c>
      <c r="F10" s="233"/>
      <c r="G10" s="233" t="s">
        <v>8</v>
      </c>
      <c r="H10" s="233"/>
      <c r="I10" s="233"/>
      <c r="J10" s="233"/>
      <c r="K10" s="233"/>
      <c r="L10" s="233"/>
      <c r="M10" s="233"/>
      <c r="N10" s="233"/>
      <c r="O10" s="233"/>
      <c r="P10" s="233"/>
      <c r="Q10" s="233"/>
    </row>
    <row r="11" spans="1:20">
      <c r="A11" s="233"/>
      <c r="B11" s="404"/>
      <c r="C11" s="101"/>
      <c r="D11" s="31"/>
      <c r="E11" s="238"/>
      <c r="F11" s="233"/>
      <c r="G11" s="233"/>
      <c r="H11" s="233"/>
      <c r="I11" s="233"/>
      <c r="J11" s="233"/>
      <c r="K11" s="233"/>
      <c r="L11" s="233"/>
      <c r="M11" s="233"/>
      <c r="N11" s="233"/>
      <c r="O11" s="233"/>
      <c r="P11" s="233"/>
      <c r="Q11" s="233"/>
    </row>
    <row r="12" spans="1:20">
      <c r="A12" s="233"/>
      <c r="B12" s="404">
        <v>10</v>
      </c>
      <c r="C12" s="101" t="s">
        <v>4</v>
      </c>
      <c r="D12" s="31">
        <v>1.1000000000000001</v>
      </c>
      <c r="E12" s="238" t="s">
        <v>757</v>
      </c>
      <c r="F12" s="233"/>
      <c r="G12" s="233" t="s">
        <v>9</v>
      </c>
      <c r="H12" s="233"/>
      <c r="I12" s="233"/>
      <c r="J12" s="233"/>
      <c r="K12" s="233"/>
      <c r="L12" s="233"/>
      <c r="M12" s="233"/>
      <c r="N12" s="233"/>
      <c r="O12" s="233"/>
      <c r="P12" s="233"/>
      <c r="Q12" s="233"/>
    </row>
    <row r="13" spans="1:20">
      <c r="A13" s="233"/>
      <c r="B13" s="404"/>
      <c r="C13" s="101"/>
      <c r="D13" s="31"/>
      <c r="E13" s="238"/>
      <c r="F13" s="233"/>
      <c r="G13" s="233" t="s">
        <v>355</v>
      </c>
      <c r="H13" s="233"/>
      <c r="I13" s="233"/>
      <c r="J13" s="233"/>
      <c r="K13" s="233"/>
      <c r="L13" s="233"/>
      <c r="M13" s="233"/>
      <c r="N13" s="233"/>
      <c r="O13" s="233"/>
      <c r="P13" s="233"/>
      <c r="Q13" s="233"/>
    </row>
    <row r="14" spans="1:20">
      <c r="A14" s="233"/>
      <c r="B14" s="404">
        <v>30</v>
      </c>
      <c r="C14" s="101" t="s">
        <v>4</v>
      </c>
      <c r="D14" s="31">
        <v>0.4</v>
      </c>
      <c r="E14" s="238" t="s">
        <v>757</v>
      </c>
      <c r="F14" s="233"/>
      <c r="G14" s="233" t="s">
        <v>293</v>
      </c>
      <c r="H14" s="233"/>
      <c r="I14" s="233"/>
      <c r="J14" s="233"/>
      <c r="K14" s="233"/>
      <c r="L14" s="233"/>
      <c r="M14" s="233"/>
      <c r="N14" s="233"/>
      <c r="O14" s="233"/>
      <c r="P14" s="233"/>
      <c r="Q14" s="233"/>
    </row>
    <row r="15" spans="1:20">
      <c r="A15" s="233"/>
      <c r="B15" s="404"/>
      <c r="C15" s="101"/>
      <c r="D15" s="31"/>
      <c r="E15" s="238"/>
      <c r="F15" s="233"/>
      <c r="G15" s="233"/>
      <c r="H15" s="233"/>
      <c r="I15" s="233"/>
      <c r="J15" s="233"/>
      <c r="K15" s="233"/>
      <c r="L15" s="233"/>
      <c r="M15" s="233"/>
      <c r="N15" s="233"/>
      <c r="O15" s="233"/>
      <c r="P15" s="233"/>
      <c r="Q15" s="233"/>
    </row>
    <row r="16" spans="1:20" ht="13">
      <c r="A16" s="233"/>
      <c r="B16" s="404">
        <v>45</v>
      </c>
      <c r="C16" s="101" t="s">
        <v>4</v>
      </c>
      <c r="D16" s="31">
        <v>0.3</v>
      </c>
      <c r="E16" s="238" t="s">
        <v>757</v>
      </c>
      <c r="F16" s="233"/>
      <c r="G16" s="233" t="s">
        <v>35</v>
      </c>
      <c r="H16" s="233"/>
      <c r="I16" s="233"/>
      <c r="J16" s="233"/>
      <c r="K16" s="233"/>
      <c r="L16" s="233"/>
      <c r="M16" s="233"/>
      <c r="N16" s="233"/>
      <c r="O16" s="233"/>
      <c r="P16" s="233"/>
      <c r="Q16" s="233"/>
    </row>
    <row r="17" spans="1:17">
      <c r="A17" s="233"/>
      <c r="B17" s="404"/>
      <c r="C17" s="101"/>
      <c r="D17" s="31"/>
      <c r="E17" s="238"/>
      <c r="F17" s="233"/>
      <c r="G17" s="233" t="s">
        <v>19</v>
      </c>
      <c r="H17" s="233"/>
      <c r="I17" s="233"/>
      <c r="J17" s="233"/>
      <c r="K17" s="233"/>
      <c r="L17" s="233"/>
      <c r="M17" s="233"/>
      <c r="N17" s="233"/>
      <c r="O17" s="233"/>
      <c r="P17" s="233"/>
      <c r="Q17" s="233"/>
    </row>
    <row r="18" spans="1:17">
      <c r="A18" s="233"/>
      <c r="B18" s="404">
        <v>90</v>
      </c>
      <c r="C18" s="101" t="s">
        <v>4</v>
      </c>
      <c r="D18" s="406">
        <v>0</v>
      </c>
      <c r="E18" s="238" t="s">
        <v>757</v>
      </c>
      <c r="F18" s="233"/>
      <c r="G18" s="233"/>
      <c r="H18" s="233"/>
      <c r="I18" s="233"/>
      <c r="J18" s="233"/>
      <c r="K18" s="233"/>
      <c r="L18" s="233"/>
      <c r="M18" s="233"/>
      <c r="N18" s="233"/>
      <c r="O18" s="233"/>
      <c r="P18" s="233"/>
      <c r="Q18" s="233"/>
    </row>
    <row r="19" spans="1:17">
      <c r="A19" s="233"/>
      <c r="B19" s="404"/>
      <c r="C19" s="101"/>
      <c r="D19" s="101"/>
      <c r="E19" s="238"/>
      <c r="F19" s="233"/>
      <c r="G19" s="233" t="s">
        <v>16</v>
      </c>
      <c r="H19" s="233"/>
      <c r="I19" s="233"/>
      <c r="J19" s="233"/>
      <c r="K19" s="233"/>
      <c r="L19" s="233"/>
      <c r="M19" s="233"/>
      <c r="N19" s="233"/>
      <c r="O19" s="233"/>
      <c r="P19" s="233"/>
      <c r="Q19" s="233"/>
    </row>
    <row r="20" spans="1:17" ht="13" thickBot="1">
      <c r="A20" s="233"/>
      <c r="B20" s="404"/>
      <c r="C20" s="101"/>
      <c r="D20" s="101"/>
      <c r="E20" s="238"/>
      <c r="F20" s="233"/>
      <c r="G20" s="233" t="s">
        <v>17</v>
      </c>
      <c r="H20" s="233"/>
      <c r="I20" s="233"/>
      <c r="J20" s="233"/>
      <c r="K20" s="233"/>
      <c r="L20" s="233"/>
      <c r="M20" s="233"/>
      <c r="N20" s="233"/>
      <c r="O20" s="233"/>
      <c r="P20" s="233"/>
      <c r="Q20" s="233"/>
    </row>
    <row r="21" spans="1:17" ht="13.5" thickBot="1">
      <c r="A21" s="233"/>
      <c r="B21" s="404" t="s">
        <v>11</v>
      </c>
      <c r="C21" s="101"/>
      <c r="D21" s="837">
        <v>10</v>
      </c>
      <c r="E21" s="101" t="s">
        <v>12</v>
      </c>
      <c r="F21" s="836" t="s">
        <v>140</v>
      </c>
      <c r="G21" s="233"/>
      <c r="H21" s="233"/>
      <c r="I21" s="233"/>
      <c r="J21" s="233"/>
      <c r="K21" s="233"/>
      <c r="L21" s="233"/>
      <c r="M21" s="233"/>
      <c r="N21" s="233"/>
      <c r="O21" s="233"/>
      <c r="P21" s="233"/>
      <c r="Q21" s="233"/>
    </row>
    <row r="22" spans="1:17">
      <c r="A22" s="233"/>
      <c r="B22" s="404"/>
      <c r="C22" s="101"/>
      <c r="D22" s="101"/>
      <c r="E22" s="238"/>
      <c r="F22" s="233"/>
      <c r="G22" s="233" t="s">
        <v>168</v>
      </c>
      <c r="H22" s="233"/>
      <c r="I22" s="233"/>
      <c r="J22" s="233"/>
      <c r="K22" s="233"/>
      <c r="L22" s="233"/>
      <c r="M22" s="233"/>
      <c r="N22" s="233"/>
      <c r="O22" s="233"/>
      <c r="P22" s="233"/>
      <c r="Q22" s="233"/>
    </row>
    <row r="23" spans="1:17">
      <c r="A23" s="233"/>
      <c r="B23" s="404" t="s">
        <v>13</v>
      </c>
      <c r="C23" s="101"/>
      <c r="D23" s="132">
        <f>IF(D21&lt;B8,4.6,INDEX(D6:D18,MATCH(D21,B6:B18,1),1))</f>
        <v>1.1000000000000001</v>
      </c>
      <c r="E23" s="238" t="s">
        <v>757</v>
      </c>
      <c r="F23" s="233"/>
      <c r="G23" s="233" t="s">
        <v>169</v>
      </c>
      <c r="H23" s="233"/>
      <c r="I23" s="233"/>
      <c r="J23" s="233"/>
      <c r="K23" s="233"/>
      <c r="L23" s="233"/>
      <c r="M23" s="233"/>
      <c r="N23" s="233"/>
      <c r="O23" s="233"/>
      <c r="P23" s="233"/>
      <c r="Q23" s="233"/>
    </row>
    <row r="24" spans="1:17">
      <c r="A24" s="233"/>
      <c r="B24" s="117"/>
      <c r="C24" s="118"/>
      <c r="D24" s="118"/>
      <c r="E24" s="119"/>
      <c r="F24" s="233"/>
      <c r="G24" s="89"/>
      <c r="H24" s="89"/>
      <c r="I24" s="89"/>
      <c r="J24" s="89"/>
      <c r="K24" s="89"/>
      <c r="L24" s="89"/>
      <c r="M24" s="89"/>
      <c r="N24" s="89"/>
      <c r="O24" s="89"/>
      <c r="P24" s="89"/>
      <c r="Q24" s="233"/>
    </row>
    <row r="25" spans="1:17">
      <c r="A25" s="233"/>
      <c r="B25" s="233"/>
      <c r="C25" s="233"/>
      <c r="D25" s="233"/>
      <c r="E25" s="233"/>
      <c r="F25" s="233"/>
      <c r="G25" s="233"/>
      <c r="H25" s="233"/>
      <c r="I25" s="233"/>
      <c r="J25" s="233"/>
      <c r="K25" s="233"/>
      <c r="L25" s="233"/>
      <c r="M25" s="233"/>
      <c r="N25" s="233"/>
      <c r="O25" s="233"/>
      <c r="P25" s="233"/>
      <c r="Q25" s="233"/>
    </row>
    <row r="26" spans="1:17" ht="13">
      <c r="A26" s="233"/>
      <c r="B26" s="233"/>
      <c r="C26" s="233"/>
      <c r="D26" s="233"/>
      <c r="E26" s="233"/>
      <c r="F26" s="233"/>
      <c r="G26" s="233"/>
      <c r="H26" s="394" t="s">
        <v>288</v>
      </c>
      <c r="I26" s="233"/>
      <c r="J26" s="233"/>
      <c r="K26" s="233"/>
      <c r="L26" s="233"/>
      <c r="M26" s="233"/>
      <c r="N26" s="233"/>
      <c r="O26" s="233"/>
      <c r="P26" s="233"/>
      <c r="Q26" s="233"/>
    </row>
    <row r="27" spans="1:17">
      <c r="A27" s="233"/>
      <c r="B27" s="233"/>
      <c r="C27" s="233"/>
      <c r="D27" s="233" t="s">
        <v>715</v>
      </c>
      <c r="E27" s="233"/>
      <c r="F27" s="233"/>
      <c r="G27" s="233"/>
      <c r="H27" s="233"/>
      <c r="I27" s="233"/>
      <c r="J27" s="233"/>
      <c r="K27" s="233"/>
      <c r="L27" s="233"/>
      <c r="M27" s="233"/>
      <c r="N27" s="233"/>
      <c r="O27" s="233"/>
      <c r="P27" s="233"/>
      <c r="Q27" s="233"/>
    </row>
    <row r="28" spans="1:17" ht="13">
      <c r="A28" s="233"/>
      <c r="B28" s="408" t="s">
        <v>18</v>
      </c>
      <c r="C28" s="411"/>
      <c r="D28" s="411"/>
      <c r="E28" s="410"/>
      <c r="F28" s="233"/>
      <c r="G28" s="233" t="s">
        <v>148</v>
      </c>
      <c r="H28" s="233"/>
      <c r="I28" s="233"/>
      <c r="J28" s="233"/>
      <c r="K28" s="233"/>
      <c r="L28" s="233"/>
      <c r="M28" s="233"/>
      <c r="N28" s="233"/>
      <c r="O28" s="233"/>
      <c r="P28" s="233"/>
      <c r="Q28" s="233"/>
    </row>
    <row r="29" spans="1:17">
      <c r="A29" s="233"/>
      <c r="B29" s="588" t="s">
        <v>758</v>
      </c>
      <c r="C29" s="101" t="s">
        <v>285</v>
      </c>
      <c r="D29" s="101"/>
      <c r="E29" s="585">
        <f>'Uplink Budget'!B17</f>
        <v>0.4</v>
      </c>
      <c r="F29" s="233"/>
      <c r="G29" s="234" t="s">
        <v>20</v>
      </c>
      <c r="H29" s="233"/>
      <c r="I29" s="233"/>
      <c r="J29" s="233"/>
      <c r="K29" s="233"/>
      <c r="L29" s="233"/>
      <c r="M29" s="233"/>
      <c r="N29" s="233"/>
      <c r="O29" s="233"/>
      <c r="P29" s="233"/>
      <c r="Q29" s="233"/>
    </row>
    <row r="30" spans="1:17" ht="13">
      <c r="A30" s="86"/>
      <c r="B30" s="587" t="s">
        <v>753</v>
      </c>
      <c r="C30" s="583" t="s">
        <v>718</v>
      </c>
      <c r="D30" s="583" t="s">
        <v>3</v>
      </c>
      <c r="E30" s="584" t="s">
        <v>718</v>
      </c>
      <c r="F30" s="233"/>
      <c r="G30" s="233" t="s">
        <v>21</v>
      </c>
      <c r="H30" s="233"/>
      <c r="I30" s="233"/>
      <c r="J30" s="233"/>
      <c r="K30" s="233"/>
      <c r="L30" s="233"/>
      <c r="M30" s="233"/>
      <c r="N30" s="233"/>
      <c r="O30" s="233"/>
      <c r="P30" s="233"/>
      <c r="Q30" s="233"/>
    </row>
    <row r="31" spans="1:17">
      <c r="A31" s="233"/>
      <c r="B31" s="404"/>
      <c r="C31" s="101"/>
      <c r="D31" s="101"/>
      <c r="E31" s="238"/>
      <c r="F31" s="233"/>
      <c r="G31" s="233" t="s">
        <v>24</v>
      </c>
      <c r="H31" s="233"/>
      <c r="I31" s="233"/>
      <c r="J31" s="233"/>
      <c r="K31" s="233"/>
      <c r="L31" s="233"/>
      <c r="M31" s="233"/>
      <c r="N31" s="233"/>
      <c r="O31" s="233"/>
      <c r="P31" s="233"/>
      <c r="Q31" s="233"/>
    </row>
    <row r="32" spans="1:17">
      <c r="A32" s="233"/>
      <c r="B32" s="122">
        <v>146</v>
      </c>
      <c r="C32" s="123" t="s">
        <v>754</v>
      </c>
      <c r="D32" s="405">
        <v>0.7</v>
      </c>
      <c r="E32" s="124" t="s">
        <v>757</v>
      </c>
      <c r="F32" s="233"/>
      <c r="G32" s="233" t="s">
        <v>25</v>
      </c>
      <c r="H32" s="233"/>
      <c r="I32" s="233"/>
      <c r="J32" s="233"/>
      <c r="K32" s="233"/>
      <c r="L32" s="233"/>
      <c r="M32" s="233"/>
      <c r="N32" s="233"/>
      <c r="O32" s="233"/>
      <c r="P32" s="233"/>
      <c r="Q32" s="233"/>
    </row>
    <row r="33" spans="1:17">
      <c r="A33" s="233"/>
      <c r="B33" s="122">
        <v>438</v>
      </c>
      <c r="C33" s="123" t="s">
        <v>754</v>
      </c>
      <c r="D33" s="405">
        <v>0.4</v>
      </c>
      <c r="E33" s="124" t="s">
        <v>757</v>
      </c>
      <c r="F33" s="233"/>
      <c r="G33" s="233"/>
      <c r="H33" s="233"/>
      <c r="I33" s="233"/>
      <c r="J33" s="233"/>
      <c r="K33" s="233"/>
      <c r="L33" s="233"/>
      <c r="M33" s="233"/>
      <c r="N33" s="233"/>
      <c r="O33" s="233"/>
      <c r="P33" s="233"/>
      <c r="Q33" s="233"/>
    </row>
    <row r="34" spans="1:17" ht="13" thickBot="1">
      <c r="A34" s="233"/>
      <c r="B34" s="122">
        <v>2410</v>
      </c>
      <c r="C34" s="123" t="s">
        <v>754</v>
      </c>
      <c r="D34" s="1045">
        <v>0.1</v>
      </c>
      <c r="E34" s="124" t="s">
        <v>757</v>
      </c>
      <c r="F34" s="233"/>
      <c r="G34" s="233" t="s">
        <v>196</v>
      </c>
      <c r="H34" s="233"/>
      <c r="I34" s="233"/>
      <c r="J34" s="233"/>
      <c r="K34" s="233"/>
      <c r="L34" s="233"/>
      <c r="M34" s="233"/>
      <c r="N34" s="233"/>
      <c r="O34" s="233"/>
      <c r="P34" s="233"/>
      <c r="Q34" s="233"/>
    </row>
    <row r="35" spans="1:17" ht="13" thickBot="1">
      <c r="A35" s="233"/>
      <c r="B35" s="413">
        <f>Frequency!C13</f>
        <v>436.5</v>
      </c>
      <c r="C35" s="414" t="s">
        <v>754</v>
      </c>
      <c r="D35" s="645">
        <v>0.4</v>
      </c>
      <c r="E35" s="124" t="s">
        <v>757</v>
      </c>
      <c r="F35" s="233"/>
      <c r="G35" s="233" t="s">
        <v>197</v>
      </c>
      <c r="H35" s="233"/>
      <c r="I35" s="233"/>
      <c r="J35" s="233"/>
      <c r="K35" s="233"/>
      <c r="L35" s="233"/>
      <c r="M35" s="233"/>
      <c r="N35" s="233"/>
      <c r="O35" s="233"/>
      <c r="P35" s="233"/>
      <c r="Q35" s="233"/>
    </row>
    <row r="36" spans="1:17">
      <c r="A36" s="233"/>
      <c r="B36" s="117"/>
      <c r="C36" s="118"/>
      <c r="D36" s="118"/>
      <c r="E36" s="119"/>
      <c r="F36" s="233"/>
      <c r="G36" s="233" t="s">
        <v>26</v>
      </c>
      <c r="H36" s="233"/>
      <c r="I36" s="233"/>
      <c r="J36" s="233"/>
      <c r="K36" s="233"/>
      <c r="L36" s="233"/>
      <c r="M36" s="233"/>
      <c r="N36" s="233"/>
      <c r="O36" s="233"/>
      <c r="P36" s="233"/>
      <c r="Q36" s="233"/>
    </row>
    <row r="37" spans="1:17">
      <c r="A37" s="233"/>
      <c r="B37" s="233"/>
      <c r="C37" s="233"/>
      <c r="D37" s="233"/>
      <c r="E37" s="233"/>
      <c r="F37" s="233"/>
      <c r="G37" s="233" t="s">
        <v>149</v>
      </c>
      <c r="H37" s="233"/>
      <c r="I37" s="233"/>
      <c r="J37" s="233"/>
      <c r="K37" s="233"/>
      <c r="L37" s="233"/>
      <c r="M37" s="233"/>
      <c r="N37" s="233"/>
      <c r="O37" s="233"/>
      <c r="P37" s="233"/>
      <c r="Q37" s="233"/>
    </row>
    <row r="38" spans="1:17">
      <c r="A38" s="233"/>
      <c r="B38" s="246" t="s">
        <v>294</v>
      </c>
      <c r="C38" s="233"/>
      <c r="D38" s="233"/>
      <c r="E38" s="233"/>
      <c r="F38" s="233"/>
      <c r="G38" s="233" t="s">
        <v>27</v>
      </c>
      <c r="H38" s="233"/>
      <c r="I38" s="233"/>
      <c r="J38" s="233"/>
      <c r="K38" s="233"/>
      <c r="L38" s="233"/>
      <c r="M38" s="233"/>
      <c r="N38" s="233"/>
      <c r="O38" s="233"/>
      <c r="P38" s="233"/>
      <c r="Q38" s="233"/>
    </row>
    <row r="39" spans="1:17">
      <c r="A39" s="233"/>
      <c r="B39" s="233"/>
      <c r="C39" s="233"/>
      <c r="D39" s="233"/>
      <c r="E39" s="233"/>
      <c r="F39" s="233"/>
      <c r="G39" s="233"/>
      <c r="H39" s="233"/>
      <c r="I39" s="233"/>
      <c r="J39" s="233"/>
      <c r="K39" s="233"/>
      <c r="L39" s="233"/>
      <c r="M39" s="233"/>
      <c r="N39" s="233"/>
      <c r="O39" s="233"/>
      <c r="P39" s="233"/>
      <c r="Q39" s="233"/>
    </row>
    <row r="40" spans="1:17">
      <c r="A40" s="233"/>
      <c r="B40" s="233"/>
      <c r="C40" s="233"/>
      <c r="D40" s="233"/>
      <c r="E40" s="233"/>
      <c r="F40" s="233"/>
      <c r="G40" s="233" t="s">
        <v>246</v>
      </c>
      <c r="H40" s="233"/>
      <c r="I40" s="233"/>
      <c r="J40" s="233"/>
      <c r="K40" s="233"/>
      <c r="L40" s="233"/>
      <c r="M40" s="233"/>
      <c r="N40" s="233"/>
      <c r="O40" s="233"/>
      <c r="P40" s="233"/>
      <c r="Q40" s="233"/>
    </row>
    <row r="41" spans="1:17" ht="13">
      <c r="A41" s="233"/>
      <c r="B41" s="408" t="s">
        <v>18</v>
      </c>
      <c r="C41" s="411"/>
      <c r="D41" s="411"/>
      <c r="E41" s="410"/>
      <c r="F41" s="233"/>
      <c r="G41" s="233" t="s">
        <v>32</v>
      </c>
      <c r="H41" s="233"/>
      <c r="I41" s="233"/>
      <c r="J41" s="233"/>
      <c r="K41" s="233"/>
      <c r="L41" s="233"/>
      <c r="M41" s="233"/>
      <c r="N41" s="233"/>
      <c r="O41" s="233"/>
      <c r="P41" s="233"/>
      <c r="Q41" s="233"/>
    </row>
    <row r="42" spans="1:17">
      <c r="A42" s="233"/>
      <c r="B42" s="403" t="s">
        <v>759</v>
      </c>
      <c r="C42" s="101" t="s">
        <v>283</v>
      </c>
      <c r="D42" s="101"/>
      <c r="E42" s="412">
        <f>'Downlink Budget'!B17</f>
        <v>0.4</v>
      </c>
      <c r="F42" s="233"/>
      <c r="G42" s="233" t="s">
        <v>31</v>
      </c>
      <c r="H42" s="233"/>
      <c r="I42" s="233"/>
      <c r="J42" s="233"/>
      <c r="K42" s="233"/>
      <c r="L42" s="233"/>
      <c r="M42" s="233"/>
      <c r="N42" s="233"/>
      <c r="O42" s="233"/>
      <c r="P42" s="233"/>
      <c r="Q42" s="233"/>
    </row>
    <row r="43" spans="1:17" ht="13">
      <c r="A43" s="233"/>
      <c r="B43" s="133" t="s">
        <v>753</v>
      </c>
      <c r="C43" s="130" t="s">
        <v>718</v>
      </c>
      <c r="D43" s="130" t="s">
        <v>3</v>
      </c>
      <c r="E43" s="131" t="s">
        <v>718</v>
      </c>
      <c r="F43" s="233"/>
      <c r="G43" s="233" t="s">
        <v>33</v>
      </c>
      <c r="H43" s="233"/>
      <c r="I43" s="233"/>
      <c r="J43" s="233"/>
      <c r="K43" s="233"/>
      <c r="L43" s="233"/>
      <c r="M43" s="233"/>
      <c r="N43" s="233"/>
      <c r="O43" s="233"/>
      <c r="P43" s="233"/>
      <c r="Q43" s="233"/>
    </row>
    <row r="44" spans="1:17">
      <c r="A44" s="233"/>
      <c r="B44" s="404"/>
      <c r="C44" s="101"/>
      <c r="D44" s="101"/>
      <c r="E44" s="238"/>
      <c r="F44" s="233"/>
      <c r="G44" s="233"/>
      <c r="H44" s="233"/>
      <c r="I44" s="233"/>
      <c r="J44" s="233"/>
      <c r="K44" s="233"/>
      <c r="L44" s="233"/>
      <c r="M44" s="233"/>
      <c r="N44" s="233"/>
      <c r="O44" s="233"/>
      <c r="P44" s="233"/>
      <c r="Q44" s="233"/>
    </row>
    <row r="45" spans="1:17">
      <c r="A45" s="233"/>
      <c r="B45" s="122">
        <v>146</v>
      </c>
      <c r="C45" s="123" t="s">
        <v>754</v>
      </c>
      <c r="D45" s="405">
        <v>0.7</v>
      </c>
      <c r="E45" s="124" t="s">
        <v>757</v>
      </c>
      <c r="F45" s="233"/>
      <c r="G45" s="233" t="s">
        <v>282</v>
      </c>
      <c r="H45" s="233"/>
      <c r="I45" s="233"/>
      <c r="J45" s="233"/>
      <c r="K45" s="233"/>
      <c r="L45" s="233"/>
      <c r="M45" s="233"/>
      <c r="N45" s="233"/>
      <c r="O45" s="233"/>
      <c r="P45" s="233"/>
      <c r="Q45" s="233"/>
    </row>
    <row r="46" spans="1:17">
      <c r="A46" s="233"/>
      <c r="B46" s="122">
        <v>438</v>
      </c>
      <c r="C46" s="123" t="s">
        <v>754</v>
      </c>
      <c r="D46" s="405">
        <v>0.4</v>
      </c>
      <c r="E46" s="124" t="s">
        <v>757</v>
      </c>
      <c r="F46" s="233"/>
      <c r="G46" s="233" t="s">
        <v>356</v>
      </c>
      <c r="H46" s="233"/>
      <c r="I46" s="233"/>
      <c r="J46" s="233"/>
      <c r="K46" s="233"/>
      <c r="L46" s="233"/>
      <c r="M46" s="233"/>
      <c r="N46" s="233"/>
      <c r="O46" s="233"/>
      <c r="P46" s="233"/>
      <c r="Q46" s="233"/>
    </row>
    <row r="47" spans="1:17" ht="13" thickBot="1">
      <c r="A47" s="233"/>
      <c r="B47" s="122">
        <v>2410</v>
      </c>
      <c r="C47" s="123" t="s">
        <v>754</v>
      </c>
      <c r="D47" s="1045">
        <v>0.1</v>
      </c>
      <c r="E47" s="124" t="s">
        <v>757</v>
      </c>
      <c r="F47" s="233"/>
      <c r="G47" s="233" t="s">
        <v>284</v>
      </c>
      <c r="H47" s="233"/>
      <c r="I47" s="233"/>
      <c r="J47" s="233"/>
      <c r="K47" s="233"/>
      <c r="L47" s="233"/>
      <c r="M47" s="233"/>
      <c r="N47" s="233"/>
      <c r="O47" s="233"/>
      <c r="P47" s="233"/>
      <c r="Q47" s="233"/>
    </row>
    <row r="48" spans="1:17" ht="13" thickBot="1">
      <c r="A48" s="233"/>
      <c r="B48" s="413">
        <f>Frequency!C19</f>
        <v>436.5</v>
      </c>
      <c r="C48" s="414" t="s">
        <v>754</v>
      </c>
      <c r="D48" s="645">
        <v>0.4</v>
      </c>
      <c r="E48" s="124" t="s">
        <v>757</v>
      </c>
      <c r="F48" s="233"/>
      <c r="G48" s="233" t="s">
        <v>286</v>
      </c>
      <c r="H48" s="233"/>
      <c r="I48" s="233"/>
      <c r="J48" s="233"/>
      <c r="K48" s="233"/>
      <c r="L48" s="233"/>
      <c r="M48" s="233"/>
      <c r="N48" s="233"/>
      <c r="O48" s="233"/>
      <c r="P48" s="233"/>
      <c r="Q48" s="233"/>
    </row>
    <row r="49" spans="1:18">
      <c r="A49" s="233"/>
      <c r="B49" s="122"/>
      <c r="C49" s="123"/>
      <c r="D49" s="118"/>
      <c r="E49" s="124"/>
      <c r="F49" s="233"/>
      <c r="G49" s="233"/>
      <c r="H49" s="233" t="s">
        <v>715</v>
      </c>
      <c r="I49" s="233"/>
      <c r="J49" s="233"/>
      <c r="K49" s="233"/>
      <c r="L49" s="233"/>
      <c r="M49" s="233"/>
      <c r="N49" s="233"/>
      <c r="O49" s="233"/>
      <c r="P49" s="233"/>
      <c r="Q49" s="233"/>
    </row>
    <row r="50" spans="1:18">
      <c r="A50" s="233"/>
      <c r="B50" s="233"/>
      <c r="C50" s="233"/>
      <c r="D50" s="233"/>
      <c r="E50" s="233"/>
      <c r="F50" s="233"/>
      <c r="G50" s="233"/>
      <c r="H50" s="246"/>
      <c r="I50" s="233"/>
      <c r="J50" s="233"/>
      <c r="K50" s="233"/>
      <c r="L50" s="233"/>
      <c r="M50" s="233"/>
      <c r="N50" s="233"/>
      <c r="O50" s="233"/>
      <c r="P50" s="233"/>
      <c r="Q50" s="233"/>
    </row>
    <row r="51" spans="1:18">
      <c r="A51" s="233"/>
      <c r="B51" s="246" t="s">
        <v>294</v>
      </c>
      <c r="C51" s="233"/>
      <c r="D51" s="233"/>
      <c r="E51" s="233"/>
      <c r="F51" s="233"/>
      <c r="G51" s="233" t="s">
        <v>598</v>
      </c>
      <c r="H51" s="233"/>
      <c r="I51" s="233"/>
      <c r="J51" s="233"/>
      <c r="K51" s="233"/>
      <c r="L51" s="233"/>
      <c r="M51" s="233"/>
      <c r="N51" s="233"/>
      <c r="O51" s="233"/>
      <c r="P51" s="233"/>
      <c r="Q51" s="233"/>
    </row>
    <row r="52" spans="1:18">
      <c r="A52" s="233"/>
      <c r="B52" s="233" t="s">
        <v>599</v>
      </c>
      <c r="C52" s="233"/>
      <c r="D52" s="233"/>
      <c r="E52" s="233"/>
      <c r="F52" s="233"/>
      <c r="G52" s="233"/>
      <c r="H52" s="233"/>
      <c r="I52" s="233"/>
      <c r="J52" s="233"/>
      <c r="K52" s="233"/>
      <c r="L52" s="233"/>
      <c r="M52" s="233"/>
      <c r="N52" s="233"/>
      <c r="O52" s="233"/>
      <c r="P52" s="233"/>
      <c r="Q52" s="233"/>
      <c r="R52" s="233"/>
    </row>
    <row r="53" spans="1:18">
      <c r="A53" s="233"/>
      <c r="B53" s="233" t="s">
        <v>600</v>
      </c>
      <c r="C53" s="233"/>
      <c r="D53" s="233"/>
      <c r="E53" s="233"/>
      <c r="F53" s="233"/>
      <c r="G53" s="233"/>
      <c r="H53" s="233"/>
      <c r="I53" s="233"/>
      <c r="J53" s="233"/>
      <c r="K53" s="233"/>
      <c r="L53" s="233"/>
      <c r="M53" s="233"/>
      <c r="N53" s="233"/>
      <c r="O53" s="233"/>
      <c r="P53" s="233"/>
      <c r="Q53" s="233"/>
      <c r="R53" s="233"/>
    </row>
    <row r="54" spans="1:18">
      <c r="A54" s="233"/>
      <c r="B54" s="233" t="s">
        <v>601</v>
      </c>
      <c r="C54" s="233"/>
      <c r="D54" s="233"/>
      <c r="E54" s="233"/>
      <c r="F54" s="233"/>
      <c r="G54" s="233"/>
      <c r="H54" s="233"/>
      <c r="I54" s="233"/>
      <c r="J54" s="233"/>
      <c r="K54" s="233"/>
      <c r="L54" s="233"/>
      <c r="M54" s="233"/>
      <c r="N54" s="233"/>
      <c r="O54" s="233"/>
      <c r="P54" s="233"/>
      <c r="Q54" s="233"/>
      <c r="R54" s="233"/>
    </row>
    <row r="55" spans="1:18">
      <c r="A55" s="233"/>
      <c r="B55" s="233" t="s">
        <v>602</v>
      </c>
      <c r="C55" s="233"/>
      <c r="D55" s="233"/>
      <c r="E55" s="233"/>
      <c r="F55" s="233"/>
      <c r="G55" s="233"/>
      <c r="H55" s="233"/>
      <c r="I55" s="233"/>
      <c r="J55" s="233"/>
      <c r="K55" s="233"/>
      <c r="L55" s="233"/>
      <c r="M55" s="233"/>
      <c r="N55" s="233"/>
      <c r="O55" s="233"/>
      <c r="P55" s="233"/>
      <c r="Q55" s="233"/>
      <c r="R55" s="233"/>
    </row>
    <row r="56" spans="1:18">
      <c r="A56" s="233"/>
      <c r="B56" s="233"/>
      <c r="C56" s="233"/>
      <c r="D56" s="233"/>
      <c r="E56" s="233"/>
      <c r="F56" s="233"/>
      <c r="G56" s="233"/>
      <c r="H56" s="233"/>
      <c r="I56" s="233"/>
      <c r="J56" s="233"/>
      <c r="K56" s="233"/>
      <c r="L56" s="233"/>
      <c r="M56" s="233"/>
      <c r="N56" s="233"/>
      <c r="O56" s="233"/>
      <c r="P56" s="233"/>
      <c r="Q56" s="233"/>
      <c r="R56" s="233"/>
    </row>
    <row r="57" spans="1:18">
      <c r="A57" s="233"/>
      <c r="B57" s="233"/>
      <c r="C57" s="233"/>
      <c r="D57" s="233"/>
      <c r="E57" s="233"/>
      <c r="F57" s="233"/>
      <c r="G57" s="233"/>
      <c r="H57" s="233"/>
      <c r="I57" s="233"/>
      <c r="J57" s="233"/>
      <c r="K57" s="233"/>
      <c r="L57" s="233"/>
      <c r="M57" s="233"/>
      <c r="N57" s="233"/>
      <c r="O57" s="233"/>
      <c r="P57" s="233"/>
      <c r="Q57" s="233"/>
      <c r="R57" s="233"/>
    </row>
    <row r="58" spans="1:18">
      <c r="A58" s="233"/>
      <c r="B58" s="233"/>
      <c r="C58" s="233"/>
      <c r="D58" s="233"/>
      <c r="E58" s="233"/>
      <c r="F58" s="233"/>
      <c r="G58" s="233"/>
      <c r="H58" s="233"/>
      <c r="I58" s="233"/>
      <c r="J58" s="233"/>
      <c r="K58" s="233"/>
      <c r="L58" s="233"/>
      <c r="M58" s="233"/>
      <c r="N58" s="233"/>
      <c r="O58" s="233"/>
      <c r="P58" s="233"/>
      <c r="Q58" s="233"/>
      <c r="R58" s="233"/>
    </row>
    <row r="59" spans="1:18">
      <c r="A59" s="233"/>
      <c r="B59" s="233"/>
      <c r="C59" s="233"/>
      <c r="D59" s="233"/>
      <c r="E59" s="233"/>
      <c r="F59" s="233"/>
      <c r="G59" s="233"/>
      <c r="H59" s="233"/>
      <c r="I59" s="233"/>
      <c r="J59" s="233"/>
      <c r="K59" s="233"/>
      <c r="L59" s="233"/>
      <c r="M59" s="233"/>
      <c r="N59" s="233"/>
      <c r="O59" s="233"/>
      <c r="P59" s="233"/>
      <c r="Q59" s="233"/>
      <c r="R59" s="233"/>
    </row>
    <row r="60" spans="1:18">
      <c r="A60" s="233"/>
      <c r="B60" s="233"/>
      <c r="C60" s="233"/>
      <c r="D60" s="233"/>
      <c r="E60" s="233"/>
      <c r="F60" s="233"/>
      <c r="G60" s="233"/>
      <c r="H60" s="233"/>
      <c r="I60" s="233"/>
      <c r="J60" s="233"/>
      <c r="K60" s="233"/>
      <c r="L60" s="233"/>
      <c r="M60" s="233"/>
      <c r="N60" s="233"/>
      <c r="O60" s="233"/>
      <c r="P60" s="233"/>
      <c r="Q60" s="233"/>
      <c r="R60" s="233"/>
    </row>
    <row r="61" spans="1:18">
      <c r="A61" s="233"/>
      <c r="B61" s="233"/>
      <c r="C61" s="233"/>
      <c r="D61" s="233"/>
      <c r="E61" s="233"/>
      <c r="F61" s="233"/>
      <c r="G61" s="233"/>
      <c r="H61" s="233"/>
      <c r="I61" s="233"/>
      <c r="J61" s="233"/>
      <c r="K61" s="233"/>
      <c r="L61" s="233"/>
      <c r="M61" s="233"/>
      <c r="N61" s="233"/>
      <c r="O61" s="233"/>
      <c r="P61" s="233"/>
      <c r="Q61" s="233"/>
      <c r="R61" s="233"/>
    </row>
    <row r="62" spans="1:18">
      <c r="A62" s="233"/>
      <c r="B62" s="233"/>
      <c r="C62" s="233"/>
      <c r="D62" s="233"/>
      <c r="E62" s="233"/>
      <c r="F62" s="233"/>
      <c r="G62" s="233"/>
      <c r="H62" s="233"/>
      <c r="I62" s="233"/>
      <c r="J62" s="233"/>
      <c r="K62" s="233"/>
      <c r="L62" s="233"/>
      <c r="M62" s="233"/>
      <c r="N62" s="233"/>
      <c r="O62" s="233"/>
      <c r="P62" s="233"/>
      <c r="Q62" s="233"/>
      <c r="R62" s="233"/>
    </row>
    <row r="63" spans="1:18">
      <c r="A63" s="233"/>
      <c r="B63" s="233"/>
      <c r="C63" s="233"/>
      <c r="D63" s="233"/>
      <c r="E63" s="233"/>
      <c r="F63" s="233"/>
      <c r="G63" s="233"/>
      <c r="H63" s="233"/>
      <c r="I63" s="233"/>
      <c r="J63" s="233"/>
      <c r="K63" s="233"/>
      <c r="L63" s="233"/>
      <c r="M63" s="233"/>
      <c r="N63" s="233"/>
      <c r="O63" s="233"/>
      <c r="P63" s="233"/>
      <c r="Q63" s="233"/>
      <c r="R63" s="233"/>
    </row>
    <row r="64" spans="1:18">
      <c r="A64" s="233"/>
      <c r="B64" s="233"/>
      <c r="C64" s="233"/>
      <c r="D64" s="233"/>
      <c r="E64" s="233"/>
      <c r="F64" s="233"/>
      <c r="G64" s="233"/>
      <c r="H64" s="233"/>
      <c r="I64" s="233"/>
      <c r="J64" s="233"/>
      <c r="K64" s="233"/>
      <c r="L64" s="233"/>
      <c r="M64" s="233"/>
      <c r="N64" s="233"/>
      <c r="O64" s="233"/>
      <c r="P64" s="233"/>
      <c r="Q64" s="233"/>
      <c r="R64" s="233"/>
    </row>
    <row r="65" spans="1:18">
      <c r="A65" s="233"/>
      <c r="B65" s="233"/>
      <c r="C65" s="233"/>
      <c r="D65" s="233"/>
      <c r="E65" s="233"/>
      <c r="F65" s="233"/>
      <c r="G65" s="233"/>
      <c r="H65" s="233"/>
      <c r="I65" s="233"/>
      <c r="J65" s="233"/>
      <c r="K65" s="233"/>
      <c r="L65" s="233"/>
      <c r="M65" s="233"/>
      <c r="N65" s="233"/>
      <c r="O65" s="233"/>
      <c r="P65" s="233"/>
      <c r="Q65" s="233"/>
      <c r="R65" s="233"/>
    </row>
    <row r="66" spans="1:18">
      <c r="A66" s="233"/>
      <c r="B66" s="233"/>
      <c r="C66" s="233"/>
      <c r="D66" s="233"/>
      <c r="E66" s="233"/>
      <c r="F66" s="233"/>
      <c r="G66" s="233"/>
      <c r="H66" s="233"/>
      <c r="I66" s="233"/>
      <c r="J66" s="233"/>
      <c r="K66" s="233"/>
      <c r="L66" s="233"/>
      <c r="M66" s="233"/>
      <c r="N66" s="233"/>
      <c r="O66" s="233"/>
      <c r="P66" s="233"/>
      <c r="Q66" s="233"/>
      <c r="R66" s="233"/>
    </row>
    <row r="67" spans="1:18">
      <c r="A67" s="233"/>
      <c r="B67" s="233"/>
      <c r="C67" s="233"/>
      <c r="D67" s="233"/>
      <c r="E67" s="233"/>
      <c r="F67" s="233"/>
      <c r="G67" s="233"/>
      <c r="H67" s="233"/>
      <c r="I67" s="233"/>
      <c r="J67" s="233"/>
      <c r="K67" s="233"/>
      <c r="L67" s="233"/>
      <c r="M67" s="233"/>
      <c r="N67" s="233"/>
      <c r="O67" s="233"/>
      <c r="P67" s="233"/>
      <c r="Q67" s="233"/>
      <c r="R67" s="233"/>
    </row>
    <row r="68" spans="1:18">
      <c r="A68" s="233"/>
      <c r="B68" s="233"/>
      <c r="C68" s="233"/>
      <c r="D68" s="233"/>
      <c r="E68" s="233"/>
      <c r="F68" s="233"/>
      <c r="G68" s="233"/>
      <c r="H68" s="233"/>
      <c r="I68" s="233"/>
      <c r="J68" s="233"/>
      <c r="K68" s="233"/>
      <c r="L68" s="233"/>
      <c r="M68" s="233"/>
      <c r="N68" s="233"/>
      <c r="O68" s="233"/>
      <c r="P68" s="233"/>
      <c r="Q68" s="233"/>
      <c r="R68" s="233"/>
    </row>
    <row r="69" spans="1:18">
      <c r="A69" s="233"/>
      <c r="B69" s="233"/>
      <c r="C69" s="233"/>
      <c r="D69" s="233"/>
      <c r="E69" s="233"/>
      <c r="F69" s="233"/>
      <c r="G69" s="233"/>
      <c r="H69" s="233"/>
      <c r="I69" s="233"/>
      <c r="J69" s="233"/>
      <c r="K69" s="233"/>
      <c r="L69" s="233"/>
      <c r="M69" s="233"/>
      <c r="N69" s="233"/>
      <c r="O69" s="233"/>
      <c r="P69" s="233"/>
      <c r="Q69" s="233"/>
      <c r="R69" s="233"/>
    </row>
    <row r="70" spans="1:18">
      <c r="A70" s="233"/>
      <c r="B70" s="233"/>
      <c r="C70" s="233"/>
      <c r="D70" s="233"/>
      <c r="E70" s="233"/>
      <c r="F70" s="233"/>
      <c r="G70" s="233"/>
      <c r="H70" s="233"/>
      <c r="I70" s="233"/>
      <c r="J70" s="233"/>
      <c r="K70" s="233"/>
      <c r="L70" s="233"/>
      <c r="M70" s="233"/>
      <c r="N70" s="233"/>
      <c r="O70" s="233"/>
      <c r="P70" s="233"/>
      <c r="Q70" s="233"/>
      <c r="R70" s="233"/>
    </row>
    <row r="71" spans="1:18">
      <c r="A71" s="233"/>
      <c r="B71" s="233"/>
      <c r="C71" s="233"/>
      <c r="D71" s="233"/>
      <c r="E71" s="233"/>
      <c r="F71" s="233"/>
      <c r="G71" s="233"/>
      <c r="H71" s="233"/>
      <c r="I71" s="233"/>
      <c r="J71" s="233"/>
      <c r="K71" s="233"/>
      <c r="L71" s="233"/>
      <c r="M71" s="233"/>
      <c r="N71" s="233"/>
      <c r="O71" s="233"/>
      <c r="P71" s="233"/>
      <c r="Q71" s="233"/>
      <c r="R71" s="233"/>
    </row>
    <row r="72" spans="1:18">
      <c r="A72" s="233"/>
      <c r="B72" s="233"/>
      <c r="C72" s="233"/>
      <c r="D72" s="233"/>
      <c r="E72" s="233"/>
      <c r="F72" s="233"/>
      <c r="G72" s="233"/>
      <c r="H72" s="233"/>
      <c r="I72" s="233"/>
      <c r="J72" s="233"/>
      <c r="K72" s="233"/>
      <c r="L72" s="233"/>
      <c r="M72" s="233"/>
      <c r="N72" s="233"/>
      <c r="O72" s="233"/>
      <c r="P72" s="233"/>
      <c r="Q72" s="233"/>
      <c r="R72" s="233"/>
    </row>
    <row r="73" spans="1:18">
      <c r="A73" s="233"/>
      <c r="B73" s="233"/>
      <c r="C73" s="233"/>
      <c r="D73" s="233"/>
      <c r="E73" s="233"/>
      <c r="F73" s="233"/>
      <c r="G73" s="233"/>
      <c r="H73" s="233"/>
      <c r="I73" s="233"/>
      <c r="J73" s="233"/>
      <c r="K73" s="233"/>
      <c r="L73" s="233"/>
      <c r="M73" s="233"/>
      <c r="N73" s="233"/>
      <c r="O73" s="233"/>
      <c r="P73" s="233"/>
      <c r="Q73" s="233"/>
      <c r="R73" s="233"/>
    </row>
    <row r="74" spans="1:18">
      <c r="A74" s="233"/>
      <c r="B74" s="233"/>
      <c r="C74" s="233"/>
      <c r="D74" s="233"/>
      <c r="E74" s="233"/>
      <c r="F74" s="233"/>
      <c r="G74" s="233"/>
      <c r="H74" s="233"/>
      <c r="I74" s="233"/>
      <c r="J74" s="233"/>
      <c r="K74" s="233"/>
      <c r="L74" s="233"/>
      <c r="M74" s="233"/>
      <c r="N74" s="233"/>
      <c r="O74" s="233"/>
      <c r="P74" s="233"/>
      <c r="Q74" s="233"/>
      <c r="R74" s="233"/>
    </row>
    <row r="75" spans="1:18">
      <c r="A75" s="233"/>
      <c r="B75" s="835"/>
      <c r="C75" s="835"/>
      <c r="D75" s="835"/>
      <c r="E75" s="835"/>
      <c r="F75" s="233"/>
      <c r="G75" s="233"/>
      <c r="H75" s="233"/>
      <c r="I75" s="233"/>
      <c r="J75" s="233"/>
      <c r="K75" s="233"/>
      <c r="L75" s="233"/>
      <c r="M75" s="233"/>
      <c r="N75" s="233"/>
      <c r="O75" s="233"/>
      <c r="P75" s="233"/>
      <c r="Q75" s="233"/>
      <c r="R75" s="233"/>
    </row>
    <row r="76" spans="1:18">
      <c r="A76" s="233"/>
      <c r="B76" s="835"/>
      <c r="C76" s="835"/>
      <c r="D76" s="835"/>
      <c r="E76" s="835"/>
      <c r="F76" s="233"/>
      <c r="G76" s="233"/>
      <c r="H76" s="233"/>
      <c r="I76" s="233"/>
      <c r="J76" s="233"/>
      <c r="K76" s="233"/>
      <c r="L76" s="233"/>
      <c r="M76" s="233"/>
      <c r="N76" s="233"/>
      <c r="O76" s="233"/>
      <c r="P76" s="233"/>
      <c r="Q76" s="233"/>
      <c r="R76" s="233"/>
    </row>
    <row r="77" spans="1:18">
      <c r="A77" s="233"/>
      <c r="B77" s="835"/>
      <c r="C77" s="835"/>
      <c r="D77" s="835"/>
      <c r="E77" s="835"/>
      <c r="F77" s="233"/>
      <c r="G77" s="233"/>
      <c r="H77" s="233"/>
      <c r="I77" s="233"/>
      <c r="J77" s="233"/>
      <c r="K77" s="233"/>
      <c r="L77" s="233"/>
      <c r="M77" s="233"/>
      <c r="N77" s="233"/>
      <c r="O77" s="233"/>
      <c r="P77" s="233"/>
      <c r="Q77" s="233"/>
      <c r="R77" s="233"/>
    </row>
    <row r="78" spans="1:18">
      <c r="A78" s="233"/>
      <c r="B78" s="835"/>
      <c r="C78" s="835"/>
      <c r="D78" s="835"/>
      <c r="E78" s="835"/>
      <c r="F78" s="233"/>
      <c r="G78" s="233"/>
      <c r="H78" s="233"/>
      <c r="I78" s="233"/>
      <c r="J78" s="233"/>
      <c r="K78" s="233"/>
      <c r="L78" s="233"/>
      <c r="M78" s="233"/>
      <c r="N78" s="233"/>
      <c r="O78" s="233"/>
      <c r="P78" s="233"/>
      <c r="Q78" s="233"/>
      <c r="R78" s="233"/>
    </row>
    <row r="79" spans="1:18">
      <c r="A79" s="233"/>
      <c r="B79" s="835"/>
      <c r="C79" s="835"/>
      <c r="D79" s="835"/>
      <c r="E79" s="835"/>
      <c r="F79" s="233"/>
      <c r="G79" s="233"/>
      <c r="H79" s="233"/>
      <c r="I79" s="233"/>
      <c r="J79" s="233"/>
      <c r="K79" s="233"/>
      <c r="L79" s="233"/>
      <c r="M79" s="233"/>
      <c r="N79" s="233"/>
      <c r="O79" s="233"/>
      <c r="P79" s="233"/>
      <c r="Q79" s="233"/>
      <c r="R79" s="233"/>
    </row>
    <row r="80" spans="1:18">
      <c r="A80" s="233"/>
      <c r="B80" s="835"/>
      <c r="C80" s="835"/>
      <c r="D80" s="835"/>
      <c r="E80" s="835"/>
      <c r="F80" s="233"/>
      <c r="G80" s="233"/>
      <c r="H80" s="233"/>
      <c r="I80" s="233"/>
      <c r="J80" s="233"/>
      <c r="K80" s="233"/>
      <c r="L80" s="233"/>
      <c r="M80" s="233"/>
      <c r="N80" s="233"/>
      <c r="O80" s="233"/>
      <c r="P80" s="233"/>
      <c r="Q80" s="233"/>
      <c r="R80" s="233"/>
    </row>
    <row r="81" spans="1:18">
      <c r="A81" s="233"/>
      <c r="B81" s="835"/>
      <c r="C81" s="835"/>
      <c r="D81" s="835"/>
      <c r="E81" s="835"/>
      <c r="F81" s="233"/>
      <c r="G81" s="233"/>
      <c r="H81" s="233"/>
      <c r="I81" s="233"/>
      <c r="J81" s="233"/>
      <c r="K81" s="233"/>
      <c r="L81" s="233"/>
      <c r="M81" s="233"/>
      <c r="N81" s="233"/>
      <c r="O81" s="233"/>
      <c r="P81" s="233"/>
      <c r="Q81" s="233"/>
      <c r="R81" s="233"/>
    </row>
    <row r="82" spans="1:18">
      <c r="A82" s="233"/>
      <c r="B82" s="835"/>
      <c r="C82" s="835"/>
      <c r="D82" s="835"/>
      <c r="E82" s="835"/>
      <c r="F82" s="233"/>
      <c r="G82" s="233"/>
      <c r="H82" s="233"/>
      <c r="I82" s="233"/>
      <c r="J82" s="233"/>
      <c r="K82" s="233"/>
      <c r="L82" s="233"/>
      <c r="M82" s="233"/>
      <c r="N82" s="233"/>
      <c r="O82" s="233"/>
      <c r="P82" s="233"/>
      <c r="Q82" s="233"/>
      <c r="R82" s="233"/>
    </row>
    <row r="83" spans="1:18">
      <c r="A83" s="233"/>
      <c r="B83" s="835"/>
      <c r="C83" s="835"/>
      <c r="D83" s="835"/>
      <c r="E83" s="835"/>
      <c r="F83" s="233"/>
      <c r="G83" s="233"/>
      <c r="H83" s="233"/>
      <c r="I83" s="233"/>
      <c r="J83" s="233"/>
      <c r="K83" s="233"/>
      <c r="L83" s="233"/>
      <c r="M83" s="233"/>
      <c r="N83" s="233"/>
      <c r="O83" s="233"/>
      <c r="P83" s="233"/>
      <c r="Q83" s="233"/>
      <c r="R83" s="233"/>
    </row>
    <row r="84" spans="1:18">
      <c r="A84" s="233"/>
      <c r="B84" s="835"/>
      <c r="C84" s="835"/>
      <c r="D84" s="835"/>
      <c r="E84" s="835"/>
      <c r="F84" s="233"/>
      <c r="G84" s="233"/>
      <c r="H84" s="233"/>
      <c r="I84" s="233"/>
      <c r="J84" s="233"/>
      <c r="K84" s="233"/>
      <c r="L84" s="233"/>
      <c r="M84" s="233"/>
      <c r="N84" s="233"/>
      <c r="O84" s="233"/>
      <c r="P84" s="233"/>
      <c r="Q84" s="233"/>
      <c r="R84" s="233"/>
    </row>
    <row r="85" spans="1:18">
      <c r="A85" s="835"/>
      <c r="B85" s="835"/>
      <c r="C85" s="835"/>
      <c r="D85" s="835"/>
      <c r="E85" s="835"/>
      <c r="F85" s="835"/>
      <c r="G85" s="835"/>
      <c r="H85" s="835"/>
      <c r="I85" s="835"/>
      <c r="J85" s="835"/>
      <c r="K85" s="835"/>
      <c r="L85" s="835"/>
      <c r="M85" s="835"/>
      <c r="N85" s="835"/>
      <c r="O85" s="835"/>
      <c r="P85" s="835"/>
      <c r="Q85" s="835"/>
      <c r="R85" s="835"/>
    </row>
    <row r="86" spans="1:18">
      <c r="A86" s="835"/>
      <c r="B86" s="835"/>
      <c r="C86" s="835"/>
      <c r="D86" s="835"/>
      <c r="E86" s="835"/>
      <c r="F86" s="835"/>
      <c r="G86" s="835"/>
      <c r="H86" s="835"/>
      <c r="I86" s="835"/>
      <c r="J86" s="835"/>
      <c r="K86" s="835"/>
      <c r="L86" s="835"/>
      <c r="M86" s="835"/>
      <c r="N86" s="835"/>
      <c r="O86" s="835"/>
      <c r="P86" s="835"/>
      <c r="Q86" s="835"/>
      <c r="R86" s="835"/>
    </row>
  </sheetData>
  <phoneticPr fontId="26" type="noConversion"/>
  <pageMargins left="0.75" right="0.75" top="1" bottom="1" header="0.5" footer="0.5"/>
  <pageSetup paperSize="9" orientation="portrait" horizontalDpi="4294967293" verticalDpi="1200"/>
  <headerFooter alignWithMargins="0"/>
  <drawing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tabColor indexed="13"/>
  </sheetPr>
  <dimension ref="A1:U109"/>
  <sheetViews>
    <sheetView zoomScale="120" zoomScaleNormal="120" workbookViewId="0">
      <selection activeCell="E3" sqref="E3"/>
    </sheetView>
  </sheetViews>
  <sheetFormatPr defaultColWidth="8.81640625" defaultRowHeight="12.5"/>
  <cols>
    <col min="3" max="3" width="20.54296875" customWidth="1"/>
    <col min="4" max="4" width="37.1796875" customWidth="1"/>
    <col min="5" max="5" width="20.54296875" customWidth="1"/>
    <col min="6" max="6" width="23.81640625" customWidth="1"/>
    <col min="8" max="8" width="9.81640625" customWidth="1"/>
  </cols>
  <sheetData>
    <row r="1" spans="1:21" ht="18" thickBot="1">
      <c r="A1" s="126" t="s">
        <v>247</v>
      </c>
      <c r="B1" s="127"/>
      <c r="C1" s="127"/>
      <c r="D1" s="127"/>
      <c r="E1" s="613" t="str">
        <f>'Title Page'!F3</f>
        <v>OreSat - CS0</v>
      </c>
      <c r="F1" s="127"/>
      <c r="G1" s="610" t="str">
        <f>'Title Page'!F23</f>
        <v>2019 June 21</v>
      </c>
      <c r="H1" s="127"/>
      <c r="I1" s="127"/>
      <c r="J1" s="127"/>
      <c r="K1" s="127"/>
      <c r="L1" s="127"/>
      <c r="M1" s="127"/>
      <c r="N1" s="127"/>
      <c r="O1" s="127"/>
      <c r="P1" s="127"/>
      <c r="Q1" s="127"/>
      <c r="R1" s="127"/>
      <c r="S1" s="127"/>
      <c r="T1" s="127"/>
      <c r="U1" s="127"/>
    </row>
    <row r="2" spans="1:21" ht="13" thickBot="1">
      <c r="A2" s="614" t="s">
        <v>597</v>
      </c>
      <c r="B2" s="615"/>
      <c r="C2" s="616" t="s">
        <v>715</v>
      </c>
      <c r="D2" s="3"/>
      <c r="E2" s="232" t="s">
        <v>858</v>
      </c>
      <c r="F2" s="3" t="s">
        <v>859</v>
      </c>
      <c r="G2" s="233" t="s">
        <v>126</v>
      </c>
      <c r="H2" s="233"/>
      <c r="I2" s="233"/>
      <c r="J2" s="233"/>
      <c r="K2" s="233"/>
      <c r="L2" s="233"/>
      <c r="M2" s="233"/>
      <c r="N2" s="233"/>
      <c r="O2" s="233"/>
      <c r="P2" s="233"/>
      <c r="Q2" s="233"/>
      <c r="R2" s="233"/>
      <c r="S2" s="233"/>
      <c r="T2" s="233"/>
      <c r="U2" s="233"/>
    </row>
    <row r="3" spans="1:21" ht="16" thickBot="1">
      <c r="A3" s="568" t="s">
        <v>127</v>
      </c>
      <c r="B3" s="569"/>
      <c r="C3" s="590" t="s">
        <v>856</v>
      </c>
      <c r="D3" s="591"/>
      <c r="E3" s="589">
        <v>11</v>
      </c>
      <c r="F3" s="652" t="str">
        <f>INDEX(C6:C24,E3,1)</f>
        <v>GMSK w/ BT=0.3</v>
      </c>
      <c r="G3" s="233"/>
      <c r="H3" s="72" t="s">
        <v>331</v>
      </c>
      <c r="I3" s="233"/>
      <c r="J3" s="233"/>
      <c r="K3" s="233"/>
      <c r="L3" s="233"/>
      <c r="M3" s="233"/>
      <c r="N3" s="233"/>
      <c r="O3" s="233"/>
      <c r="P3" s="233"/>
      <c r="Q3" s="233"/>
      <c r="R3" s="233"/>
      <c r="S3" s="233"/>
      <c r="T3" s="233"/>
      <c r="U3" s="233"/>
    </row>
    <row r="4" spans="1:21" ht="13.5" thickBot="1">
      <c r="A4" s="636" t="s">
        <v>595</v>
      </c>
      <c r="B4" s="3"/>
      <c r="C4" s="3"/>
      <c r="D4" s="3"/>
      <c r="E4" s="3"/>
      <c r="F4" s="3"/>
      <c r="G4" s="233"/>
      <c r="H4" s="73" t="s">
        <v>332</v>
      </c>
      <c r="I4" s="233"/>
      <c r="J4" s="233"/>
      <c r="K4" s="233"/>
      <c r="L4" s="233"/>
      <c r="M4" s="233"/>
      <c r="N4" s="233"/>
      <c r="O4" s="233"/>
      <c r="P4" s="233"/>
      <c r="Q4" s="233"/>
      <c r="R4" s="233"/>
      <c r="S4" s="233"/>
      <c r="T4" s="233"/>
      <c r="U4" s="233"/>
    </row>
    <row r="5" spans="1:21" ht="15.5">
      <c r="A5" s="233"/>
      <c r="B5" s="66" t="s">
        <v>842</v>
      </c>
      <c r="C5" s="66" t="s">
        <v>841</v>
      </c>
      <c r="D5" s="66" t="s">
        <v>843</v>
      </c>
      <c r="E5" s="66" t="s">
        <v>844</v>
      </c>
      <c r="F5" s="66" t="s">
        <v>845</v>
      </c>
      <c r="G5" s="233"/>
      <c r="H5" s="75">
        <f>INDEX(F6:F24,E3,1)+E26</f>
        <v>10.9</v>
      </c>
      <c r="I5" s="233"/>
      <c r="J5" s="233"/>
      <c r="K5" s="233"/>
      <c r="L5" s="233"/>
      <c r="M5" s="233"/>
      <c r="N5" s="233"/>
      <c r="O5" s="233"/>
      <c r="P5" s="233"/>
      <c r="Q5" s="233"/>
      <c r="R5" s="233"/>
      <c r="S5" s="233"/>
      <c r="T5" s="233"/>
      <c r="U5" s="233"/>
    </row>
    <row r="6" spans="1:21" ht="16" thickBot="1">
      <c r="A6" s="233"/>
      <c r="B6" s="70">
        <v>1</v>
      </c>
      <c r="C6" s="67" t="s">
        <v>846</v>
      </c>
      <c r="D6" s="67" t="s">
        <v>847</v>
      </c>
      <c r="E6" s="68">
        <v>1E-4</v>
      </c>
      <c r="F6" s="76">
        <v>21</v>
      </c>
      <c r="G6" s="233"/>
      <c r="H6" s="74" t="s">
        <v>757</v>
      </c>
      <c r="I6" s="233"/>
      <c r="J6" s="233"/>
      <c r="K6" s="233"/>
      <c r="L6" s="233"/>
      <c r="M6" s="233"/>
      <c r="N6" s="233"/>
      <c r="O6" s="233"/>
      <c r="P6" s="233"/>
      <c r="Q6" s="233"/>
      <c r="R6" s="233"/>
      <c r="S6" s="233"/>
      <c r="T6" s="233"/>
      <c r="U6" s="233"/>
    </row>
    <row r="7" spans="1:21" ht="15.5">
      <c r="A7" s="233"/>
      <c r="B7" s="70">
        <v>2</v>
      </c>
      <c r="C7" s="67" t="s">
        <v>846</v>
      </c>
      <c r="D7" s="67" t="s">
        <v>847</v>
      </c>
      <c r="E7" s="68">
        <v>1.0000000000000001E-5</v>
      </c>
      <c r="F7" s="76">
        <v>23.2</v>
      </c>
      <c r="G7" s="233"/>
      <c r="H7" s="233"/>
      <c r="I7" s="233"/>
      <c r="J7" s="233"/>
      <c r="K7" s="233"/>
      <c r="L7" s="233"/>
      <c r="M7" s="233"/>
      <c r="N7" s="233"/>
      <c r="O7" s="233"/>
      <c r="P7" s="233"/>
      <c r="Q7" s="233"/>
      <c r="R7" s="233"/>
      <c r="S7" s="233"/>
      <c r="T7" s="233"/>
      <c r="U7" s="233"/>
    </row>
    <row r="8" spans="1:21" ht="15.5">
      <c r="A8" s="233"/>
      <c r="B8" s="70">
        <v>3</v>
      </c>
      <c r="C8" s="67" t="s">
        <v>848</v>
      </c>
      <c r="D8" s="67" t="s">
        <v>847</v>
      </c>
      <c r="E8" s="68">
        <v>1E-4</v>
      </c>
      <c r="F8" s="76">
        <v>16.7</v>
      </c>
      <c r="G8" s="233"/>
      <c r="H8" s="233"/>
      <c r="I8" s="233"/>
      <c r="J8" s="233"/>
      <c r="K8" s="233"/>
      <c r="L8" s="233"/>
      <c r="M8" s="233"/>
      <c r="N8" s="233"/>
      <c r="O8" s="233"/>
      <c r="P8" s="233"/>
      <c r="Q8" s="233"/>
      <c r="R8" s="233"/>
      <c r="S8" s="233"/>
      <c r="T8" s="233"/>
      <c r="U8" s="233"/>
    </row>
    <row r="9" spans="1:21" ht="15.5">
      <c r="A9" s="233"/>
      <c r="B9" s="70">
        <v>4</v>
      </c>
      <c r="C9" s="67" t="s">
        <v>848</v>
      </c>
      <c r="D9" s="67" t="s">
        <v>847</v>
      </c>
      <c r="E9" s="68">
        <v>1.0000000000000001E-5</v>
      </c>
      <c r="F9" s="76">
        <v>18</v>
      </c>
      <c r="G9" s="233"/>
      <c r="H9" s="233"/>
      <c r="I9" s="233"/>
      <c r="J9" s="233"/>
      <c r="K9" s="233"/>
      <c r="L9" s="233"/>
      <c r="M9" s="233"/>
      <c r="N9" s="233"/>
      <c r="O9" s="233"/>
      <c r="P9" s="233"/>
      <c r="Q9" s="233"/>
      <c r="R9" s="233"/>
      <c r="S9" s="233"/>
      <c r="T9" s="233"/>
      <c r="U9" s="233"/>
    </row>
    <row r="10" spans="1:21" ht="15.5">
      <c r="A10" s="233"/>
      <c r="B10" s="70">
        <v>5</v>
      </c>
      <c r="C10" s="67" t="s">
        <v>849</v>
      </c>
      <c r="D10" s="67" t="s">
        <v>847</v>
      </c>
      <c r="E10" s="68">
        <v>1E-4</v>
      </c>
      <c r="F10" s="76">
        <v>13.4</v>
      </c>
      <c r="G10" s="233"/>
      <c r="H10" s="233"/>
      <c r="I10" s="233"/>
      <c r="J10" s="233"/>
      <c r="K10" s="233"/>
      <c r="L10" s="233"/>
      <c r="M10" s="233"/>
      <c r="N10" s="233"/>
      <c r="O10" s="233"/>
      <c r="P10" s="233"/>
      <c r="Q10" s="233"/>
      <c r="R10" s="233"/>
      <c r="S10" s="233"/>
      <c r="T10" s="233"/>
      <c r="U10" s="233"/>
    </row>
    <row r="11" spans="1:21" ht="15.5">
      <c r="A11" s="233"/>
      <c r="B11" s="70">
        <v>6</v>
      </c>
      <c r="C11" s="67" t="s">
        <v>849</v>
      </c>
      <c r="D11" s="67" t="s">
        <v>847</v>
      </c>
      <c r="E11" s="68">
        <v>1.0000000000000001E-5</v>
      </c>
      <c r="F11" s="76">
        <v>13.8</v>
      </c>
      <c r="G11" s="233"/>
      <c r="H11" s="233"/>
      <c r="I11" s="233"/>
      <c r="J11" s="233"/>
      <c r="K11" s="233"/>
      <c r="L11" s="233"/>
      <c r="M11" s="233"/>
      <c r="N11" s="233"/>
      <c r="O11" s="233"/>
      <c r="P11" s="233"/>
      <c r="Q11" s="233"/>
      <c r="R11" s="233"/>
      <c r="S11" s="233"/>
      <c r="T11" s="233"/>
      <c r="U11" s="233"/>
    </row>
    <row r="12" spans="1:21" ht="15.5">
      <c r="A12" s="233"/>
      <c r="B12" s="70">
        <v>7</v>
      </c>
      <c r="C12" s="67" t="s">
        <v>850</v>
      </c>
      <c r="D12" s="67" t="s">
        <v>847</v>
      </c>
      <c r="E12" s="68">
        <v>1E-4</v>
      </c>
      <c r="F12" s="76">
        <v>10.5</v>
      </c>
      <c r="G12" s="233"/>
      <c r="H12" s="233"/>
      <c r="I12" s="233"/>
      <c r="J12" s="233"/>
      <c r="K12" s="233"/>
      <c r="L12" s="233"/>
      <c r="M12" s="233"/>
      <c r="N12" s="233"/>
      <c r="O12" s="233"/>
      <c r="P12" s="233"/>
      <c r="Q12" s="233"/>
      <c r="R12" s="233"/>
      <c r="S12" s="233"/>
      <c r="T12" s="233"/>
      <c r="U12" s="233"/>
    </row>
    <row r="13" spans="1:21" ht="15.5">
      <c r="A13" s="233"/>
      <c r="B13" s="70">
        <v>8</v>
      </c>
      <c r="C13" s="67" t="s">
        <v>850</v>
      </c>
      <c r="D13" s="67" t="s">
        <v>847</v>
      </c>
      <c r="E13" s="68">
        <v>1.0000000000000001E-5</v>
      </c>
      <c r="F13" s="76">
        <v>11.9</v>
      </c>
      <c r="G13" s="233"/>
      <c r="H13" s="233"/>
      <c r="I13" s="233"/>
      <c r="J13" s="233"/>
      <c r="K13" s="233"/>
      <c r="L13" s="233"/>
      <c r="M13" s="233"/>
      <c r="N13" s="233"/>
      <c r="O13" s="233"/>
      <c r="P13" s="233"/>
      <c r="Q13" s="233"/>
      <c r="R13" s="233"/>
      <c r="S13" s="233"/>
      <c r="T13" s="233"/>
      <c r="U13" s="233"/>
    </row>
    <row r="14" spans="1:21" ht="15.5">
      <c r="A14" s="233"/>
      <c r="B14" s="70">
        <v>9</v>
      </c>
      <c r="C14" s="67" t="s">
        <v>987</v>
      </c>
      <c r="D14" s="67" t="s">
        <v>847</v>
      </c>
      <c r="E14" s="68">
        <v>1E-4</v>
      </c>
      <c r="F14" s="76">
        <v>8.4</v>
      </c>
      <c r="G14" s="233"/>
      <c r="H14" s="233"/>
      <c r="I14" s="233"/>
      <c r="J14" s="233"/>
      <c r="K14" s="233"/>
      <c r="L14" s="233"/>
      <c r="M14" s="233"/>
      <c r="N14" s="233"/>
      <c r="O14" s="233"/>
      <c r="P14" s="233"/>
      <c r="Q14" s="233"/>
      <c r="R14" s="233"/>
      <c r="S14" s="233"/>
      <c r="T14" s="233"/>
      <c r="U14" s="233"/>
    </row>
    <row r="15" spans="1:21" ht="15.5">
      <c r="A15" s="233"/>
      <c r="B15" s="70">
        <v>10</v>
      </c>
      <c r="C15" s="67" t="s">
        <v>987</v>
      </c>
      <c r="D15" s="67" t="s">
        <v>847</v>
      </c>
      <c r="E15" s="68">
        <v>1.0000000000000001E-5</v>
      </c>
      <c r="F15" s="76">
        <v>9.6</v>
      </c>
      <c r="G15" s="233"/>
      <c r="H15" s="233"/>
      <c r="I15" s="233"/>
      <c r="J15" s="233"/>
      <c r="K15" s="233"/>
      <c r="L15" s="233"/>
      <c r="M15" s="233"/>
      <c r="N15" s="233"/>
      <c r="O15" s="233"/>
      <c r="P15" s="233"/>
      <c r="Q15" s="233"/>
      <c r="R15" s="233"/>
      <c r="S15" s="233"/>
      <c r="T15" s="233"/>
      <c r="U15" s="233"/>
    </row>
    <row r="16" spans="1:21" ht="15.5">
      <c r="A16" s="233"/>
      <c r="B16" s="70">
        <v>11</v>
      </c>
      <c r="C16" s="67" t="s">
        <v>988</v>
      </c>
      <c r="D16" s="67" t="s">
        <v>847</v>
      </c>
      <c r="E16" s="68">
        <v>1.0000000000000001E-5</v>
      </c>
      <c r="F16" s="76">
        <v>10.4</v>
      </c>
      <c r="G16" s="233"/>
      <c r="H16" s="233"/>
      <c r="I16" s="233"/>
      <c r="J16" s="233"/>
      <c r="K16" s="233"/>
      <c r="L16" s="233"/>
      <c r="M16" s="233"/>
      <c r="N16" s="233"/>
      <c r="O16" s="233"/>
      <c r="P16" s="233"/>
      <c r="Q16" s="233"/>
      <c r="R16" s="233"/>
      <c r="S16" s="233"/>
      <c r="T16" s="233"/>
      <c r="U16" s="233"/>
    </row>
    <row r="17" spans="1:21" ht="15.5">
      <c r="A17" s="233"/>
      <c r="B17" s="70">
        <v>12</v>
      </c>
      <c r="C17" s="67" t="s">
        <v>851</v>
      </c>
      <c r="D17" s="67" t="s">
        <v>847</v>
      </c>
      <c r="E17" s="68">
        <v>1.0000000000000001E-5</v>
      </c>
      <c r="F17" s="76">
        <v>9.6</v>
      </c>
      <c r="G17" s="233"/>
      <c r="H17" s="233"/>
      <c r="I17" s="233"/>
      <c r="J17" s="233"/>
      <c r="K17" s="233"/>
      <c r="L17" s="233"/>
      <c r="M17" s="233"/>
      <c r="N17" s="233"/>
      <c r="O17" s="233"/>
      <c r="P17" s="233"/>
      <c r="Q17" s="233"/>
      <c r="R17" s="233"/>
      <c r="S17" s="233"/>
      <c r="T17" s="233"/>
      <c r="U17" s="233"/>
    </row>
    <row r="18" spans="1:21" ht="15.5">
      <c r="A18" s="233"/>
      <c r="B18" s="70">
        <v>13</v>
      </c>
      <c r="C18" s="67" t="s">
        <v>851</v>
      </c>
      <c r="D18" s="67" t="s">
        <v>847</v>
      </c>
      <c r="E18" s="68">
        <v>9.9999999999999995E-7</v>
      </c>
      <c r="F18" s="76">
        <v>10.5</v>
      </c>
      <c r="G18" s="233"/>
      <c r="H18" s="233"/>
      <c r="I18" s="233"/>
      <c r="J18" s="233"/>
      <c r="K18" s="233"/>
      <c r="L18" s="233"/>
      <c r="M18" s="233"/>
      <c r="N18" s="233"/>
      <c r="O18" s="233"/>
      <c r="P18" s="233"/>
      <c r="Q18" s="233"/>
      <c r="R18" s="233"/>
      <c r="S18" s="233"/>
      <c r="T18" s="233"/>
      <c r="U18" s="233"/>
    </row>
    <row r="19" spans="1:21" ht="15.5">
      <c r="A19" s="233"/>
      <c r="B19" s="70">
        <v>14</v>
      </c>
      <c r="C19" s="67" t="s">
        <v>852</v>
      </c>
      <c r="D19" s="67" t="s">
        <v>847</v>
      </c>
      <c r="E19" s="68">
        <v>1.0000000000000001E-5</v>
      </c>
      <c r="F19" s="76">
        <v>9.6</v>
      </c>
      <c r="G19" s="233"/>
      <c r="H19" s="233"/>
      <c r="I19" s="233"/>
      <c r="J19" s="233"/>
      <c r="K19" s="233"/>
      <c r="L19" s="233"/>
      <c r="M19" s="233"/>
      <c r="N19" s="233"/>
      <c r="O19" s="233"/>
      <c r="P19" s="233"/>
      <c r="Q19" s="233"/>
      <c r="R19" s="233"/>
      <c r="S19" s="233"/>
      <c r="T19" s="233"/>
      <c r="U19" s="233"/>
    </row>
    <row r="20" spans="1:21" ht="15.5">
      <c r="A20" s="233"/>
      <c r="B20" s="70">
        <v>15</v>
      </c>
      <c r="C20" s="67" t="s">
        <v>852</v>
      </c>
      <c r="D20" s="67" t="s">
        <v>847</v>
      </c>
      <c r="E20" s="68">
        <v>9.9999999999999995E-7</v>
      </c>
      <c r="F20" s="76">
        <v>10.5</v>
      </c>
      <c r="G20" s="233"/>
      <c r="H20" s="233"/>
      <c r="I20" s="233"/>
      <c r="J20" s="233"/>
      <c r="K20" s="233"/>
      <c r="L20" s="233"/>
      <c r="M20" s="233"/>
      <c r="N20" s="233"/>
      <c r="O20" s="233"/>
      <c r="P20" s="233"/>
      <c r="Q20" s="233"/>
      <c r="R20" s="233"/>
      <c r="S20" s="233"/>
      <c r="T20" s="233"/>
      <c r="U20" s="233"/>
    </row>
    <row r="21" spans="1:21" ht="15.5">
      <c r="A21" s="233"/>
      <c r="B21" s="70">
        <v>16</v>
      </c>
      <c r="C21" s="67" t="s">
        <v>851</v>
      </c>
      <c r="D21" s="67" t="s">
        <v>853</v>
      </c>
      <c r="E21" s="68">
        <v>9.9999999999999995E-7</v>
      </c>
      <c r="F21" s="76">
        <v>4.8</v>
      </c>
      <c r="G21" s="233"/>
      <c r="H21" s="233"/>
      <c r="I21" s="233"/>
      <c r="J21" s="233"/>
      <c r="K21" s="233"/>
      <c r="L21" s="233"/>
      <c r="M21" s="233"/>
      <c r="N21" s="233"/>
      <c r="O21" s="233"/>
      <c r="P21" s="233"/>
      <c r="Q21" s="233"/>
      <c r="R21" s="233"/>
      <c r="S21" s="233"/>
      <c r="T21" s="233"/>
      <c r="U21" s="233"/>
    </row>
    <row r="22" spans="1:21" ht="15.5">
      <c r="A22" s="233"/>
      <c r="B22" s="70">
        <v>17</v>
      </c>
      <c r="C22" s="67" t="s">
        <v>851</v>
      </c>
      <c r="D22" s="67" t="s">
        <v>854</v>
      </c>
      <c r="E22" s="68">
        <v>9.9999999999999995E-7</v>
      </c>
      <c r="F22" s="76">
        <v>2.5</v>
      </c>
      <c r="G22" s="233"/>
      <c r="H22" s="233"/>
      <c r="I22" s="233"/>
      <c r="J22" s="233"/>
      <c r="K22" s="233"/>
      <c r="L22" s="233"/>
      <c r="M22" s="233"/>
      <c r="N22" s="233"/>
      <c r="O22" s="233"/>
      <c r="P22" s="233"/>
      <c r="Q22" s="233"/>
      <c r="R22" s="233"/>
      <c r="S22" s="233"/>
      <c r="T22" s="233"/>
      <c r="U22" s="233"/>
    </row>
    <row r="23" spans="1:21" ht="15.5">
      <c r="A23" s="233"/>
      <c r="B23" s="70">
        <v>18</v>
      </c>
      <c r="C23" s="67" t="s">
        <v>851</v>
      </c>
      <c r="D23" s="67" t="s">
        <v>855</v>
      </c>
      <c r="E23" s="68">
        <v>9.9999999999999995E-8</v>
      </c>
      <c r="F23" s="76">
        <v>0.8</v>
      </c>
      <c r="G23" s="233"/>
      <c r="H23" s="233"/>
      <c r="I23" s="233"/>
      <c r="J23" s="233"/>
      <c r="K23" s="233"/>
      <c r="L23" s="233"/>
      <c r="M23" s="233"/>
      <c r="N23" s="233"/>
      <c r="O23" s="233"/>
      <c r="P23" s="233"/>
      <c r="Q23" s="233"/>
      <c r="R23" s="233"/>
      <c r="S23" s="233"/>
      <c r="T23" s="233"/>
      <c r="U23" s="233"/>
    </row>
    <row r="24" spans="1:21" ht="15.5">
      <c r="A24" s="233"/>
      <c r="B24" s="70">
        <v>19</v>
      </c>
      <c r="C24" s="69" t="s">
        <v>988</v>
      </c>
      <c r="D24" s="69" t="s">
        <v>853</v>
      </c>
      <c r="E24" s="78">
        <v>1.0000000000000001E-5</v>
      </c>
      <c r="F24" s="77">
        <v>5.6</v>
      </c>
      <c r="G24" s="233"/>
      <c r="H24" s="233"/>
      <c r="I24" s="233"/>
      <c r="J24" s="233"/>
      <c r="K24" s="233"/>
      <c r="L24" s="233"/>
      <c r="M24" s="233"/>
      <c r="N24" s="233"/>
      <c r="O24" s="233"/>
      <c r="P24" s="233"/>
      <c r="Q24" s="233"/>
      <c r="R24" s="233"/>
      <c r="S24" s="233"/>
      <c r="T24" s="233"/>
      <c r="U24" s="233"/>
    </row>
    <row r="25" spans="1:21" ht="13" thickBot="1">
      <c r="A25" s="233"/>
      <c r="B25" s="233"/>
      <c r="C25" s="233"/>
      <c r="D25" s="246" t="s">
        <v>330</v>
      </c>
      <c r="E25" s="233"/>
      <c r="F25" s="245"/>
      <c r="G25" s="233"/>
      <c r="H25" s="233"/>
      <c r="I25" s="233"/>
      <c r="J25" s="233"/>
      <c r="K25" s="233"/>
      <c r="L25" s="233"/>
      <c r="M25" s="233"/>
      <c r="N25" s="233"/>
      <c r="O25" s="233"/>
      <c r="P25" s="233"/>
      <c r="Q25" s="233"/>
      <c r="R25" s="233"/>
      <c r="S25" s="233"/>
      <c r="T25" s="233"/>
      <c r="U25" s="233"/>
    </row>
    <row r="26" spans="1:21" ht="16" thickBot="1">
      <c r="A26" s="233"/>
      <c r="B26" s="345" t="s">
        <v>140</v>
      </c>
      <c r="C26" s="233"/>
      <c r="D26" s="637" t="s">
        <v>857</v>
      </c>
      <c r="E26" s="638">
        <v>0.5</v>
      </c>
      <c r="F26" s="71" t="s">
        <v>757</v>
      </c>
      <c r="G26" s="233"/>
      <c r="H26" s="233"/>
      <c r="I26" s="233"/>
      <c r="J26" s="233"/>
      <c r="K26" s="233"/>
      <c r="L26" s="233"/>
      <c r="M26" s="233"/>
      <c r="N26" s="233"/>
      <c r="O26" s="233"/>
      <c r="P26" s="233"/>
      <c r="Q26" s="233"/>
      <c r="R26" s="233"/>
      <c r="S26" s="233"/>
      <c r="T26" s="233"/>
      <c r="U26" s="233"/>
    </row>
    <row r="27" spans="1:21" ht="13" thickBot="1">
      <c r="A27" s="233"/>
      <c r="B27" s="233"/>
      <c r="C27" s="233"/>
      <c r="D27" s="233"/>
      <c r="E27" s="233"/>
      <c r="F27" s="233"/>
      <c r="G27" s="233"/>
      <c r="H27" s="233"/>
      <c r="I27" s="233"/>
      <c r="J27" s="233"/>
      <c r="K27" s="233"/>
      <c r="L27" s="233"/>
      <c r="M27" s="233"/>
      <c r="N27" s="233"/>
      <c r="O27" s="233"/>
      <c r="P27" s="233"/>
      <c r="Q27" s="233"/>
      <c r="R27" s="233"/>
      <c r="S27" s="233"/>
      <c r="T27" s="233"/>
      <c r="U27" s="233"/>
    </row>
    <row r="28" spans="1:21" ht="13.5" thickBot="1">
      <c r="A28" s="249"/>
      <c r="B28" s="24"/>
      <c r="C28" s="250" t="s">
        <v>119</v>
      </c>
      <c r="D28" s="24" t="s">
        <v>715</v>
      </c>
      <c r="E28" s="250" t="s">
        <v>122</v>
      </c>
      <c r="F28" s="24"/>
      <c r="G28" s="24"/>
      <c r="H28" s="24"/>
      <c r="I28" s="24"/>
      <c r="J28" s="24"/>
      <c r="K28" s="24"/>
      <c r="L28" s="24"/>
      <c r="M28" s="24"/>
      <c r="N28" s="24"/>
      <c r="O28" s="24"/>
      <c r="P28" s="24"/>
      <c r="Q28" s="24"/>
      <c r="R28" s="24"/>
      <c r="S28" s="24"/>
      <c r="T28" s="24"/>
      <c r="U28" s="25"/>
    </row>
    <row r="29" spans="1:21">
      <c r="A29" s="3"/>
      <c r="B29" s="3"/>
      <c r="C29" s="3"/>
      <c r="D29" s="3"/>
      <c r="E29" s="3"/>
      <c r="F29" s="3"/>
      <c r="G29" s="233"/>
      <c r="H29" s="233"/>
      <c r="I29" s="233"/>
      <c r="J29" s="233"/>
      <c r="K29" s="233"/>
      <c r="L29" s="233"/>
      <c r="M29" s="233"/>
      <c r="N29" s="233"/>
      <c r="O29" s="233"/>
      <c r="P29" s="233"/>
      <c r="Q29" s="233"/>
      <c r="R29" s="233"/>
      <c r="S29" s="233"/>
      <c r="T29" s="233"/>
      <c r="U29" s="233"/>
    </row>
    <row r="30" spans="1:21" ht="13" thickBot="1">
      <c r="A30" s="3"/>
      <c r="B30" s="3"/>
      <c r="C30" s="3"/>
      <c r="D30" s="3"/>
      <c r="E30" s="232" t="s">
        <v>858</v>
      </c>
      <c r="F30" s="3" t="s">
        <v>859</v>
      </c>
      <c r="G30" s="233" t="s">
        <v>126</v>
      </c>
      <c r="H30" s="233"/>
      <c r="I30" s="233"/>
      <c r="J30" s="233"/>
      <c r="K30" s="233"/>
      <c r="L30" s="233"/>
      <c r="M30" s="233"/>
      <c r="N30" s="233"/>
      <c r="O30" s="233"/>
      <c r="P30" s="233"/>
      <c r="Q30" s="233"/>
      <c r="R30" s="233"/>
      <c r="S30" s="233"/>
      <c r="T30" s="233"/>
      <c r="U30" s="233"/>
    </row>
    <row r="31" spans="1:21" ht="16" thickBot="1">
      <c r="A31" s="247" t="s">
        <v>128</v>
      </c>
      <c r="B31" s="248"/>
      <c r="C31" s="635" t="s">
        <v>856</v>
      </c>
      <c r="D31" s="591"/>
      <c r="E31" s="589">
        <v>11</v>
      </c>
      <c r="F31" s="652" t="str">
        <f>INDEX(C34:C53,E31,1)</f>
        <v>GMSK w/ BT=0.3</v>
      </c>
      <c r="G31" s="233"/>
      <c r="H31" s="72" t="s">
        <v>331</v>
      </c>
      <c r="I31" s="233"/>
      <c r="J31" s="233"/>
      <c r="K31" s="233"/>
      <c r="L31" s="233"/>
      <c r="M31" s="233"/>
      <c r="N31" s="233"/>
      <c r="O31" s="233"/>
      <c r="P31" s="233"/>
      <c r="Q31" s="233"/>
      <c r="R31" s="233"/>
      <c r="S31" s="233"/>
      <c r="T31" s="233"/>
      <c r="U31" s="233"/>
    </row>
    <row r="32" spans="1:21" ht="13.5" thickBot="1">
      <c r="A32" s="636" t="s">
        <v>596</v>
      </c>
      <c r="B32" s="3"/>
      <c r="C32" s="3"/>
      <c r="D32" s="3"/>
      <c r="E32" s="3"/>
      <c r="F32" s="3"/>
      <c r="G32" s="233"/>
      <c r="H32" s="73" t="s">
        <v>332</v>
      </c>
      <c r="I32" s="233"/>
      <c r="J32" s="233"/>
      <c r="K32" s="233"/>
      <c r="L32" s="233"/>
      <c r="M32" s="233"/>
      <c r="N32" s="233"/>
      <c r="O32" s="233"/>
      <c r="P32" s="233"/>
      <c r="Q32" s="233"/>
      <c r="R32" s="233"/>
      <c r="S32" s="233"/>
      <c r="T32" s="233"/>
      <c r="U32" s="233"/>
    </row>
    <row r="33" spans="1:21" ht="15.5">
      <c r="A33" s="233"/>
      <c r="B33" s="66" t="s">
        <v>842</v>
      </c>
      <c r="C33" s="66" t="s">
        <v>841</v>
      </c>
      <c r="D33" s="66" t="s">
        <v>843</v>
      </c>
      <c r="E33" s="66" t="s">
        <v>844</v>
      </c>
      <c r="F33" s="66" t="s">
        <v>845</v>
      </c>
      <c r="G33" s="233"/>
      <c r="H33" s="75">
        <f>INDEX(F34:F53,E31,1)+E55</f>
        <v>10.9</v>
      </c>
      <c r="I33" s="233"/>
      <c r="J33" s="233"/>
      <c r="K33" s="233"/>
      <c r="L33" s="233"/>
      <c r="M33" s="233"/>
      <c r="N33" s="233"/>
      <c r="O33" s="233"/>
      <c r="P33" s="233"/>
      <c r="Q33" s="233"/>
      <c r="R33" s="233"/>
      <c r="S33" s="233"/>
      <c r="T33" s="233"/>
      <c r="U33" s="233"/>
    </row>
    <row r="34" spans="1:21" ht="16" thickBot="1">
      <c r="A34" s="233"/>
      <c r="B34" s="70">
        <v>1</v>
      </c>
      <c r="C34" s="67" t="s">
        <v>846</v>
      </c>
      <c r="D34" s="67" t="s">
        <v>847</v>
      </c>
      <c r="E34" s="68">
        <v>1E-4</v>
      </c>
      <c r="F34" s="76">
        <v>21</v>
      </c>
      <c r="G34" s="233"/>
      <c r="H34" s="74" t="s">
        <v>757</v>
      </c>
      <c r="I34" s="233"/>
      <c r="J34" s="233"/>
      <c r="K34" s="233"/>
      <c r="L34" s="233"/>
      <c r="M34" s="233"/>
      <c r="N34" s="233"/>
      <c r="O34" s="233"/>
      <c r="P34" s="233"/>
      <c r="Q34" s="233"/>
      <c r="R34" s="233"/>
      <c r="S34" s="233"/>
      <c r="T34" s="233"/>
      <c r="U34" s="233"/>
    </row>
    <row r="35" spans="1:21" ht="15.5">
      <c r="A35" s="233"/>
      <c r="B35" s="70">
        <v>2</v>
      </c>
      <c r="C35" s="67" t="s">
        <v>846</v>
      </c>
      <c r="D35" s="67" t="s">
        <v>847</v>
      </c>
      <c r="E35" s="68">
        <v>1.0000000000000001E-5</v>
      </c>
      <c r="F35" s="76">
        <v>23.2</v>
      </c>
      <c r="G35" s="233"/>
      <c r="H35" s="233"/>
      <c r="I35" s="233"/>
      <c r="J35" s="233"/>
      <c r="K35" s="233"/>
      <c r="L35" s="233"/>
      <c r="M35" s="233"/>
      <c r="N35" s="233"/>
      <c r="O35" s="233"/>
      <c r="P35" s="233"/>
      <c r="Q35" s="233"/>
      <c r="R35" s="233"/>
      <c r="S35" s="233"/>
      <c r="T35" s="233"/>
      <c r="U35" s="233"/>
    </row>
    <row r="36" spans="1:21" ht="15.5">
      <c r="A36" s="233"/>
      <c r="B36" s="70">
        <v>3</v>
      </c>
      <c r="C36" s="67" t="s">
        <v>848</v>
      </c>
      <c r="D36" s="67" t="s">
        <v>847</v>
      </c>
      <c r="E36" s="68">
        <v>1E-4</v>
      </c>
      <c r="F36" s="76">
        <v>16.7</v>
      </c>
      <c r="G36" s="233"/>
      <c r="H36" s="233"/>
      <c r="I36" s="233"/>
      <c r="J36" s="233"/>
      <c r="K36" s="233"/>
      <c r="L36" s="233"/>
      <c r="M36" s="233"/>
      <c r="N36" s="233"/>
      <c r="O36" s="233"/>
      <c r="P36" s="233"/>
      <c r="Q36" s="233"/>
      <c r="R36" s="233"/>
      <c r="S36" s="233"/>
      <c r="T36" s="233"/>
      <c r="U36" s="233"/>
    </row>
    <row r="37" spans="1:21" ht="15.5">
      <c r="A37" s="233"/>
      <c r="B37" s="70">
        <v>4</v>
      </c>
      <c r="C37" s="67" t="s">
        <v>848</v>
      </c>
      <c r="D37" s="67" t="s">
        <v>847</v>
      </c>
      <c r="E37" s="68">
        <v>1.0000000000000001E-5</v>
      </c>
      <c r="F37" s="76">
        <v>18</v>
      </c>
      <c r="G37" s="233"/>
      <c r="H37" s="233"/>
      <c r="I37" s="233"/>
      <c r="J37" s="233"/>
      <c r="K37" s="233"/>
      <c r="L37" s="233"/>
      <c r="M37" s="233"/>
      <c r="N37" s="233"/>
      <c r="O37" s="233"/>
      <c r="P37" s="233"/>
      <c r="Q37" s="233"/>
      <c r="R37" s="233"/>
      <c r="S37" s="233"/>
      <c r="T37" s="233"/>
      <c r="U37" s="233"/>
    </row>
    <row r="38" spans="1:21" ht="15.5">
      <c r="A38" s="233"/>
      <c r="B38" s="70">
        <v>5</v>
      </c>
      <c r="C38" s="67" t="s">
        <v>849</v>
      </c>
      <c r="D38" s="67" t="s">
        <v>847</v>
      </c>
      <c r="E38" s="68">
        <v>1E-4</v>
      </c>
      <c r="F38" s="76">
        <v>13.4</v>
      </c>
      <c r="G38" s="233"/>
      <c r="H38" s="233"/>
      <c r="I38" s="233"/>
      <c r="J38" s="233"/>
      <c r="K38" s="233"/>
      <c r="L38" s="233"/>
      <c r="M38" s="233"/>
      <c r="N38" s="233"/>
      <c r="O38" s="233"/>
      <c r="P38" s="233"/>
      <c r="Q38" s="233"/>
      <c r="R38" s="233"/>
      <c r="S38" s="233"/>
      <c r="T38" s="233"/>
      <c r="U38" s="233"/>
    </row>
    <row r="39" spans="1:21" ht="15.5">
      <c r="A39" s="233"/>
      <c r="B39" s="70">
        <v>6</v>
      </c>
      <c r="C39" s="67" t="s">
        <v>849</v>
      </c>
      <c r="D39" s="67" t="s">
        <v>847</v>
      </c>
      <c r="E39" s="68">
        <v>1.0000000000000001E-5</v>
      </c>
      <c r="F39" s="76">
        <v>13.8</v>
      </c>
      <c r="G39" s="233"/>
      <c r="H39" s="233"/>
      <c r="I39" s="233"/>
      <c r="J39" s="233"/>
      <c r="K39" s="233"/>
      <c r="L39" s="233"/>
      <c r="M39" s="233"/>
      <c r="N39" s="233"/>
      <c r="O39" s="233"/>
      <c r="P39" s="233"/>
      <c r="Q39" s="233"/>
      <c r="R39" s="233"/>
      <c r="S39" s="233"/>
      <c r="T39" s="233"/>
      <c r="U39" s="233"/>
    </row>
    <row r="40" spans="1:21" ht="15.5">
      <c r="A40" s="233"/>
      <c r="B40" s="70">
        <v>7</v>
      </c>
      <c r="C40" s="67" t="s">
        <v>850</v>
      </c>
      <c r="D40" s="67" t="s">
        <v>847</v>
      </c>
      <c r="E40" s="68">
        <v>1E-4</v>
      </c>
      <c r="F40" s="76">
        <v>10.5</v>
      </c>
      <c r="G40" s="233"/>
      <c r="H40" s="233"/>
      <c r="I40" s="233"/>
      <c r="J40" s="233"/>
      <c r="K40" s="233"/>
      <c r="L40" s="233"/>
      <c r="M40" s="233"/>
      <c r="N40" s="233"/>
      <c r="O40" s="233"/>
      <c r="P40" s="233"/>
      <c r="Q40" s="233"/>
      <c r="R40" s="233"/>
      <c r="S40" s="233"/>
      <c r="T40" s="233"/>
      <c r="U40" s="233"/>
    </row>
    <row r="41" spans="1:21" ht="15.5">
      <c r="A41" s="233"/>
      <c r="B41" s="70">
        <v>8</v>
      </c>
      <c r="C41" s="67" t="s">
        <v>850</v>
      </c>
      <c r="D41" s="67" t="s">
        <v>847</v>
      </c>
      <c r="E41" s="68">
        <v>1.0000000000000001E-5</v>
      </c>
      <c r="F41" s="76">
        <v>11.9</v>
      </c>
      <c r="G41" s="233"/>
      <c r="H41" s="233"/>
      <c r="I41" s="233"/>
      <c r="J41" s="233"/>
      <c r="K41" s="233"/>
      <c r="L41" s="233"/>
      <c r="M41" s="233"/>
      <c r="N41" s="233"/>
      <c r="O41" s="233"/>
      <c r="P41" s="233"/>
      <c r="Q41" s="233"/>
      <c r="R41" s="233"/>
      <c r="S41" s="233"/>
      <c r="T41" s="233"/>
      <c r="U41" s="233"/>
    </row>
    <row r="42" spans="1:21" ht="15.5">
      <c r="A42" s="233"/>
      <c r="B42" s="70">
        <v>9</v>
      </c>
      <c r="C42" s="67" t="s">
        <v>987</v>
      </c>
      <c r="D42" s="67" t="s">
        <v>847</v>
      </c>
      <c r="E42" s="68">
        <v>1E-4</v>
      </c>
      <c r="F42" s="76">
        <v>8.4</v>
      </c>
      <c r="G42" s="233"/>
      <c r="H42" s="233"/>
      <c r="I42" s="233"/>
      <c r="J42" s="233"/>
      <c r="K42" s="233"/>
      <c r="L42" s="233"/>
      <c r="M42" s="233"/>
      <c r="N42" s="233"/>
      <c r="O42" s="233"/>
      <c r="P42" s="233"/>
      <c r="Q42" s="233"/>
      <c r="R42" s="233"/>
      <c r="S42" s="233"/>
      <c r="T42" s="233"/>
      <c r="U42" s="233"/>
    </row>
    <row r="43" spans="1:21" ht="15.5">
      <c r="A43" s="233"/>
      <c r="B43" s="70">
        <v>10</v>
      </c>
      <c r="C43" s="67" t="s">
        <v>987</v>
      </c>
      <c r="D43" s="67" t="s">
        <v>847</v>
      </c>
      <c r="E43" s="68">
        <v>1.0000000000000001E-5</v>
      </c>
      <c r="F43" s="76">
        <v>9.6</v>
      </c>
      <c r="G43" s="233"/>
      <c r="H43" s="233"/>
      <c r="I43" s="233"/>
      <c r="J43" s="233"/>
      <c r="K43" s="233"/>
      <c r="L43" s="233"/>
      <c r="M43" s="233"/>
      <c r="N43" s="233"/>
      <c r="O43" s="233"/>
      <c r="P43" s="233"/>
      <c r="Q43" s="233"/>
      <c r="R43" s="233"/>
      <c r="S43" s="233"/>
      <c r="T43" s="233"/>
      <c r="U43" s="233"/>
    </row>
    <row r="44" spans="1:21" ht="15.5">
      <c r="A44" s="233"/>
      <c r="B44" s="70">
        <v>11</v>
      </c>
      <c r="C44" s="67" t="s">
        <v>988</v>
      </c>
      <c r="D44" s="67" t="s">
        <v>847</v>
      </c>
      <c r="E44" s="68">
        <v>1.0000000000000001E-5</v>
      </c>
      <c r="F44" s="76">
        <v>10.4</v>
      </c>
      <c r="G44" s="233"/>
      <c r="H44" s="233"/>
      <c r="I44" s="233"/>
      <c r="J44" s="233"/>
      <c r="K44" s="233"/>
      <c r="L44" s="233"/>
      <c r="M44" s="233"/>
      <c r="N44" s="233"/>
      <c r="O44" s="233"/>
      <c r="P44" s="233"/>
      <c r="Q44" s="233"/>
      <c r="R44" s="233"/>
      <c r="S44" s="233"/>
      <c r="T44" s="233"/>
      <c r="U44" s="233"/>
    </row>
    <row r="45" spans="1:21" ht="15.5">
      <c r="A45" s="233"/>
      <c r="B45" s="70">
        <v>12</v>
      </c>
      <c r="C45" s="67" t="s">
        <v>851</v>
      </c>
      <c r="D45" s="67" t="s">
        <v>847</v>
      </c>
      <c r="E45" s="68">
        <v>1.0000000000000001E-5</v>
      </c>
      <c r="F45" s="76">
        <v>9.6</v>
      </c>
      <c r="G45" s="233"/>
      <c r="H45" s="233"/>
      <c r="I45" s="233"/>
      <c r="J45" s="233"/>
      <c r="K45" s="233"/>
      <c r="L45" s="233"/>
      <c r="M45" s="233"/>
      <c r="N45" s="233"/>
      <c r="O45" s="233"/>
      <c r="P45" s="233"/>
      <c r="Q45" s="233"/>
      <c r="R45" s="233"/>
      <c r="S45" s="233"/>
      <c r="T45" s="233"/>
      <c r="U45" s="233"/>
    </row>
    <row r="46" spans="1:21" ht="15.5">
      <c r="A46" s="233"/>
      <c r="B46" s="70">
        <v>13</v>
      </c>
      <c r="C46" s="67" t="s">
        <v>851</v>
      </c>
      <c r="D46" s="67" t="s">
        <v>847</v>
      </c>
      <c r="E46" s="68">
        <v>9.9999999999999995E-7</v>
      </c>
      <c r="F46" s="76">
        <v>10.5</v>
      </c>
      <c r="G46" s="233"/>
      <c r="H46" s="233"/>
      <c r="I46" s="233"/>
      <c r="J46" s="233"/>
      <c r="K46" s="233"/>
      <c r="L46" s="233"/>
      <c r="M46" s="233"/>
      <c r="N46" s="233"/>
      <c r="O46" s="233"/>
      <c r="P46" s="233"/>
      <c r="Q46" s="233"/>
      <c r="R46" s="233"/>
      <c r="S46" s="233"/>
      <c r="T46" s="233"/>
      <c r="U46" s="233"/>
    </row>
    <row r="47" spans="1:21" ht="15.5">
      <c r="A47" s="233"/>
      <c r="B47" s="70">
        <v>14</v>
      </c>
      <c r="C47" s="67" t="s">
        <v>852</v>
      </c>
      <c r="D47" s="67" t="s">
        <v>847</v>
      </c>
      <c r="E47" s="68">
        <v>1.0000000000000001E-5</v>
      </c>
      <c r="F47" s="76">
        <v>9.6</v>
      </c>
      <c r="G47" s="233"/>
      <c r="H47" s="233"/>
      <c r="I47" s="233"/>
      <c r="J47" s="233"/>
      <c r="K47" s="233"/>
      <c r="L47" s="233"/>
      <c r="M47" s="233"/>
      <c r="N47" s="233"/>
      <c r="O47" s="233"/>
      <c r="P47" s="233"/>
      <c r="Q47" s="233"/>
      <c r="R47" s="233"/>
      <c r="S47" s="233"/>
      <c r="T47" s="233"/>
      <c r="U47" s="233"/>
    </row>
    <row r="48" spans="1:21" ht="15.5">
      <c r="A48" s="233"/>
      <c r="B48" s="70">
        <v>15</v>
      </c>
      <c r="C48" s="67" t="s">
        <v>852</v>
      </c>
      <c r="D48" s="67" t="s">
        <v>847</v>
      </c>
      <c r="E48" s="68">
        <v>9.9999999999999995E-7</v>
      </c>
      <c r="F48" s="76">
        <v>10.5</v>
      </c>
      <c r="G48" s="233"/>
      <c r="H48" s="233"/>
      <c r="I48" s="233"/>
      <c r="J48" s="233"/>
      <c r="K48" s="233"/>
      <c r="L48" s="233"/>
      <c r="M48" s="233"/>
      <c r="N48" s="233"/>
      <c r="O48" s="233"/>
      <c r="P48" s="233"/>
      <c r="Q48" s="233"/>
      <c r="R48" s="233"/>
      <c r="S48" s="233"/>
      <c r="T48" s="233"/>
      <c r="U48" s="233"/>
    </row>
    <row r="49" spans="1:21" ht="15.5">
      <c r="A49" s="233"/>
      <c r="B49" s="70">
        <v>16</v>
      </c>
      <c r="C49" s="67" t="s">
        <v>851</v>
      </c>
      <c r="D49" s="67" t="s">
        <v>853</v>
      </c>
      <c r="E49" s="68">
        <v>9.9999999999999995E-7</v>
      </c>
      <c r="F49" s="76">
        <v>4.8</v>
      </c>
      <c r="G49" s="233"/>
      <c r="H49" s="233"/>
      <c r="I49" s="233"/>
      <c r="J49" s="233"/>
      <c r="K49" s="233"/>
      <c r="L49" s="233"/>
      <c r="M49" s="233"/>
      <c r="N49" s="233"/>
      <c r="O49" s="233"/>
      <c r="P49" s="233"/>
      <c r="Q49" s="233"/>
      <c r="R49" s="233"/>
      <c r="S49" s="233"/>
      <c r="T49" s="233"/>
      <c r="U49" s="233"/>
    </row>
    <row r="50" spans="1:21" ht="15.5">
      <c r="A50" s="233"/>
      <c r="B50" s="70">
        <v>17</v>
      </c>
      <c r="C50" s="67" t="s">
        <v>851</v>
      </c>
      <c r="D50" s="67" t="s">
        <v>854</v>
      </c>
      <c r="E50" s="68">
        <v>9.9999999999999995E-7</v>
      </c>
      <c r="F50" s="76">
        <v>2.5</v>
      </c>
      <c r="G50" s="233"/>
      <c r="H50" s="233"/>
      <c r="I50" s="233"/>
      <c r="J50" s="233"/>
      <c r="K50" s="233"/>
      <c r="L50" s="233"/>
      <c r="M50" s="233"/>
      <c r="N50" s="233"/>
      <c r="O50" s="233"/>
      <c r="P50" s="233"/>
      <c r="Q50" s="233"/>
      <c r="R50" s="233"/>
      <c r="S50" s="233"/>
      <c r="T50" s="233"/>
      <c r="U50" s="233"/>
    </row>
    <row r="51" spans="1:21" ht="15.5">
      <c r="A51" s="233"/>
      <c r="B51" s="70">
        <v>18</v>
      </c>
      <c r="C51" s="67" t="s">
        <v>851</v>
      </c>
      <c r="D51" s="67" t="s">
        <v>855</v>
      </c>
      <c r="E51" s="68">
        <v>9.9999999999999995E-8</v>
      </c>
      <c r="F51" s="76">
        <v>0.8</v>
      </c>
      <c r="G51" s="233"/>
      <c r="H51" s="233"/>
      <c r="I51" s="233"/>
      <c r="J51" s="233"/>
      <c r="K51" s="233"/>
      <c r="L51" s="233"/>
      <c r="M51" s="233"/>
      <c r="N51" s="233"/>
      <c r="O51" s="233"/>
      <c r="P51" s="233"/>
      <c r="Q51" s="233"/>
      <c r="R51" s="233"/>
      <c r="S51" s="233"/>
      <c r="T51" s="233"/>
      <c r="U51" s="233"/>
    </row>
    <row r="52" spans="1:21" ht="15.5">
      <c r="A52" s="233"/>
      <c r="B52" s="70">
        <v>19</v>
      </c>
      <c r="C52" s="67" t="s">
        <v>851</v>
      </c>
      <c r="D52" s="67" t="s">
        <v>541</v>
      </c>
      <c r="E52" s="68">
        <v>9.9999999999999995E-7</v>
      </c>
      <c r="F52" s="650">
        <v>0.75</v>
      </c>
      <c r="G52" s="233"/>
      <c r="H52" s="233"/>
      <c r="I52" s="233"/>
      <c r="J52" s="233"/>
      <c r="K52" s="233"/>
      <c r="L52" s="233"/>
      <c r="M52" s="233"/>
      <c r="N52" s="233"/>
      <c r="O52" s="233"/>
      <c r="P52" s="233"/>
      <c r="Q52" s="233"/>
      <c r="R52" s="233"/>
      <c r="S52" s="233"/>
      <c r="T52" s="233"/>
      <c r="U52" s="233"/>
    </row>
    <row r="53" spans="1:21" ht="15.5">
      <c r="A53" s="233"/>
      <c r="B53" s="70">
        <v>20</v>
      </c>
      <c r="C53" s="69" t="s">
        <v>988</v>
      </c>
      <c r="D53" s="69" t="s">
        <v>853</v>
      </c>
      <c r="E53" s="78">
        <v>1.0000000000000001E-5</v>
      </c>
      <c r="F53" s="77">
        <v>5.6</v>
      </c>
      <c r="G53" s="233"/>
      <c r="H53" s="233"/>
      <c r="I53" s="233"/>
      <c r="J53" s="233"/>
      <c r="K53" s="233"/>
      <c r="L53" s="233"/>
      <c r="M53" s="233"/>
      <c r="N53" s="233"/>
      <c r="O53" s="233"/>
      <c r="P53" s="233"/>
      <c r="Q53" s="233"/>
      <c r="R53" s="233"/>
      <c r="S53" s="233"/>
      <c r="T53" s="233"/>
      <c r="U53" s="233"/>
    </row>
    <row r="54" spans="1:21" ht="13" thickBot="1">
      <c r="A54" s="233"/>
      <c r="B54" s="233"/>
      <c r="C54" s="233"/>
      <c r="D54" s="246" t="s">
        <v>330</v>
      </c>
      <c r="E54" s="233"/>
      <c r="F54" s="245"/>
      <c r="G54" s="233"/>
      <c r="H54" s="233"/>
      <c r="I54" s="233"/>
      <c r="J54" s="233"/>
      <c r="K54" s="233"/>
      <c r="L54" s="233"/>
      <c r="M54" s="233"/>
      <c r="N54" s="233"/>
      <c r="O54" s="233"/>
      <c r="P54" s="233"/>
      <c r="Q54" s="233"/>
      <c r="R54" s="233"/>
      <c r="S54" s="233"/>
      <c r="T54" s="233"/>
      <c r="U54" s="233"/>
    </row>
    <row r="55" spans="1:21" ht="16" thickBot="1">
      <c r="A55" s="233"/>
      <c r="B55" s="233"/>
      <c r="C55" s="233"/>
      <c r="D55" s="637" t="s">
        <v>857</v>
      </c>
      <c r="E55" s="638">
        <v>0.5</v>
      </c>
      <c r="F55" s="71" t="s">
        <v>757</v>
      </c>
      <c r="G55" s="233"/>
      <c r="H55" s="233"/>
      <c r="I55" s="233"/>
      <c r="J55" s="233"/>
      <c r="K55" s="233"/>
      <c r="L55" s="233"/>
      <c r="M55" s="233"/>
      <c r="N55" s="233"/>
      <c r="O55" s="233"/>
      <c r="P55" s="233"/>
      <c r="Q55" s="233"/>
      <c r="R55" s="233"/>
      <c r="S55" s="233"/>
      <c r="T55" s="233"/>
      <c r="U55" s="233"/>
    </row>
    <row r="56" spans="1:21">
      <c r="A56" s="233"/>
      <c r="B56" s="345" t="s">
        <v>140</v>
      </c>
      <c r="C56" s="233"/>
      <c r="D56" s="233"/>
      <c r="E56" s="233"/>
      <c r="F56" s="233"/>
      <c r="G56" s="233"/>
      <c r="H56" s="233"/>
      <c r="I56" s="233"/>
      <c r="J56" s="233"/>
      <c r="K56" s="233"/>
      <c r="L56" s="233"/>
      <c r="M56" s="233"/>
      <c r="N56" s="233"/>
      <c r="O56" s="233"/>
      <c r="P56" s="233"/>
      <c r="Q56" s="233"/>
      <c r="R56" s="233"/>
      <c r="S56" s="233"/>
      <c r="T56" s="233"/>
      <c r="U56" s="233"/>
    </row>
    <row r="57" spans="1:21">
      <c r="A57" s="233"/>
      <c r="B57" s="233"/>
      <c r="C57" s="233"/>
      <c r="D57" s="233"/>
      <c r="E57" s="233"/>
      <c r="F57" s="233"/>
      <c r="G57" s="233"/>
      <c r="H57" s="233"/>
      <c r="I57" s="233"/>
      <c r="J57" s="233"/>
      <c r="K57" s="233"/>
      <c r="L57" s="233"/>
      <c r="M57" s="233"/>
      <c r="N57" s="233"/>
      <c r="O57" s="233"/>
      <c r="P57" s="233"/>
      <c r="Q57" s="233"/>
      <c r="R57" s="233"/>
      <c r="S57" s="233"/>
      <c r="T57" s="233"/>
      <c r="U57" s="233"/>
    </row>
    <row r="58" spans="1:21">
      <c r="A58" s="233"/>
      <c r="B58" s="233"/>
      <c r="C58" s="233"/>
      <c r="D58" s="233"/>
      <c r="E58" s="233"/>
      <c r="F58" s="233"/>
      <c r="G58" s="233"/>
      <c r="H58" s="233"/>
      <c r="I58" s="233"/>
      <c r="J58" s="233"/>
      <c r="K58" s="233"/>
      <c r="L58" s="233"/>
      <c r="M58" s="233"/>
      <c r="N58" s="233"/>
      <c r="O58" s="233"/>
      <c r="P58" s="233"/>
      <c r="Q58" s="233"/>
      <c r="R58" s="233"/>
      <c r="S58" s="233"/>
      <c r="T58" s="233"/>
      <c r="U58" s="233"/>
    </row>
    <row r="59" spans="1:21">
      <c r="A59" s="233"/>
      <c r="B59" s="233"/>
      <c r="C59" s="233"/>
      <c r="D59" s="233"/>
      <c r="E59" s="233"/>
      <c r="F59" s="233"/>
      <c r="G59" s="233"/>
      <c r="H59" s="233"/>
      <c r="I59" s="233"/>
      <c r="J59" s="233"/>
      <c r="K59" s="233"/>
      <c r="L59" s="233"/>
      <c r="M59" s="233"/>
      <c r="N59" s="233"/>
      <c r="O59" s="233"/>
      <c r="P59" s="233"/>
      <c r="Q59" s="233"/>
      <c r="R59" s="233"/>
      <c r="S59" s="233"/>
      <c r="T59" s="233"/>
      <c r="U59" s="233"/>
    </row>
    <row r="60" spans="1:21">
      <c r="A60" s="233"/>
      <c r="B60" s="233"/>
      <c r="C60" s="233"/>
      <c r="D60" s="233"/>
      <c r="E60" s="233"/>
      <c r="F60" s="233"/>
      <c r="G60" s="233"/>
      <c r="H60" s="233"/>
      <c r="I60" s="233"/>
      <c r="J60" s="233"/>
      <c r="K60" s="233"/>
      <c r="L60" s="233"/>
      <c r="M60" s="233"/>
      <c r="N60" s="233"/>
      <c r="O60" s="233"/>
      <c r="P60" s="233"/>
      <c r="Q60" s="233"/>
      <c r="R60" s="233"/>
      <c r="S60" s="233"/>
      <c r="T60" s="233"/>
      <c r="U60" s="233"/>
    </row>
    <row r="61" spans="1:21">
      <c r="A61" s="233"/>
      <c r="B61" s="233"/>
      <c r="C61" s="233"/>
      <c r="D61" s="233"/>
      <c r="E61" s="233"/>
      <c r="F61" s="233"/>
      <c r="G61" s="233"/>
      <c r="H61" s="233"/>
      <c r="I61" s="233"/>
      <c r="J61" s="233"/>
      <c r="K61" s="233"/>
      <c r="L61" s="233"/>
      <c r="M61" s="233"/>
      <c r="N61" s="233"/>
      <c r="O61" s="233"/>
      <c r="P61" s="233"/>
      <c r="Q61" s="233"/>
      <c r="R61" s="233"/>
      <c r="S61" s="233"/>
      <c r="T61" s="233"/>
      <c r="U61" s="233"/>
    </row>
    <row r="62" spans="1:21">
      <c r="A62" s="233"/>
      <c r="B62" s="233"/>
      <c r="C62" s="233"/>
      <c r="D62" s="233"/>
      <c r="E62" s="233"/>
      <c r="F62" s="233"/>
      <c r="G62" s="233"/>
      <c r="H62" s="233"/>
      <c r="I62" s="233"/>
      <c r="J62" s="233"/>
      <c r="K62" s="233"/>
      <c r="L62" s="233"/>
      <c r="M62" s="233"/>
      <c r="N62" s="233"/>
      <c r="O62" s="233"/>
      <c r="P62" s="233"/>
      <c r="Q62" s="233"/>
      <c r="R62" s="233"/>
      <c r="S62" s="233"/>
      <c r="T62" s="233"/>
      <c r="U62" s="233"/>
    </row>
    <row r="63" spans="1:21">
      <c r="A63" s="233"/>
      <c r="B63" s="233"/>
      <c r="C63" s="233"/>
      <c r="D63" s="233" t="s">
        <v>715</v>
      </c>
      <c r="E63" s="233"/>
      <c r="F63" s="233"/>
      <c r="G63" s="233"/>
      <c r="H63" s="233"/>
      <c r="I63" s="233"/>
      <c r="J63" s="233"/>
      <c r="K63" s="233"/>
      <c r="L63" s="233"/>
      <c r="M63" s="233"/>
      <c r="N63" s="233"/>
      <c r="O63" s="233"/>
      <c r="P63" s="233"/>
      <c r="Q63" s="233"/>
      <c r="R63" s="233"/>
      <c r="S63" s="233"/>
      <c r="T63" s="233"/>
      <c r="U63" s="233"/>
    </row>
    <row r="64" spans="1:21">
      <c r="A64" s="233"/>
      <c r="B64" s="233"/>
      <c r="C64" s="233"/>
      <c r="D64" s="233"/>
      <c r="E64" s="233"/>
      <c r="F64" s="233"/>
      <c r="G64" s="233"/>
      <c r="H64" s="233"/>
      <c r="I64" s="233"/>
      <c r="J64" s="233"/>
      <c r="K64" s="233"/>
      <c r="L64" s="233"/>
      <c r="M64" s="233"/>
      <c r="N64" s="233"/>
      <c r="O64" s="233"/>
      <c r="P64" s="233"/>
      <c r="Q64" s="233"/>
      <c r="R64" s="233"/>
      <c r="S64" s="233"/>
      <c r="T64" s="233"/>
      <c r="U64" s="233"/>
    </row>
    <row r="65" spans="1:21">
      <c r="A65" s="233"/>
      <c r="B65" s="233"/>
      <c r="C65" s="233"/>
      <c r="D65" s="233"/>
      <c r="E65" s="233"/>
      <c r="F65" s="233"/>
      <c r="G65" s="233"/>
      <c r="H65" s="233"/>
      <c r="I65" s="233"/>
      <c r="J65" s="233"/>
      <c r="K65" s="233"/>
      <c r="L65" s="233"/>
      <c r="M65" s="233"/>
      <c r="N65" s="233"/>
      <c r="O65" s="233"/>
      <c r="P65" s="233"/>
      <c r="Q65" s="233"/>
      <c r="R65" s="233"/>
      <c r="S65" s="233"/>
      <c r="T65" s="233"/>
      <c r="U65" s="233"/>
    </row>
    <row r="66" spans="1:21">
      <c r="A66" s="233"/>
      <c r="B66" s="233"/>
      <c r="C66" s="233"/>
      <c r="D66" s="233"/>
      <c r="E66" s="233"/>
      <c r="F66" s="233"/>
      <c r="G66" s="233"/>
      <c r="H66" s="233"/>
      <c r="I66" s="233"/>
      <c r="J66" s="233"/>
      <c r="K66" s="233"/>
      <c r="L66" s="233"/>
      <c r="M66" s="233"/>
      <c r="N66" s="233"/>
      <c r="O66" s="233"/>
      <c r="P66" s="233"/>
      <c r="Q66" s="233"/>
      <c r="R66" s="233"/>
      <c r="S66" s="233"/>
      <c r="T66" s="233"/>
      <c r="U66" s="233"/>
    </row>
    <row r="67" spans="1:21">
      <c r="A67" s="233"/>
      <c r="B67" s="233"/>
      <c r="C67" s="233"/>
      <c r="D67" s="233"/>
      <c r="E67" s="233"/>
      <c r="F67" s="233"/>
      <c r="G67" s="233"/>
      <c r="H67" s="233"/>
      <c r="I67" s="233"/>
      <c r="J67" s="233"/>
      <c r="K67" s="233"/>
      <c r="L67" s="233"/>
      <c r="M67" s="233"/>
      <c r="N67" s="233"/>
      <c r="O67" s="233"/>
      <c r="P67" s="233"/>
      <c r="Q67" s="233"/>
      <c r="R67" s="233"/>
      <c r="S67" s="233"/>
      <c r="T67" s="233"/>
      <c r="U67" s="233"/>
    </row>
    <row r="68" spans="1:21">
      <c r="A68" s="233"/>
      <c r="B68" s="233"/>
      <c r="C68" s="233"/>
      <c r="D68" s="233"/>
      <c r="E68" s="233"/>
      <c r="F68" s="233"/>
      <c r="G68" s="233"/>
      <c r="H68" s="233"/>
      <c r="I68" s="233"/>
      <c r="J68" s="233"/>
      <c r="K68" s="233"/>
      <c r="L68" s="233"/>
      <c r="M68" s="233"/>
      <c r="N68" s="233"/>
      <c r="O68" s="233"/>
      <c r="P68" s="233"/>
      <c r="Q68" s="233"/>
      <c r="R68" s="233"/>
      <c r="S68" s="233"/>
      <c r="T68" s="233"/>
      <c r="U68" s="233"/>
    </row>
    <row r="69" spans="1:21">
      <c r="A69" s="233"/>
      <c r="B69" s="233"/>
      <c r="C69" s="233"/>
      <c r="D69" s="233"/>
      <c r="E69" s="233"/>
      <c r="F69" s="233"/>
      <c r="G69" s="233"/>
      <c r="H69" s="233"/>
    </row>
    <row r="70" spans="1:21">
      <c r="A70" s="233"/>
      <c r="B70" s="233"/>
      <c r="C70" s="233"/>
      <c r="D70" s="233"/>
      <c r="E70" s="233"/>
      <c r="F70" s="233"/>
      <c r="G70" s="233"/>
      <c r="H70" s="233"/>
    </row>
    <row r="71" spans="1:21">
      <c r="A71" s="233"/>
      <c r="B71" s="233"/>
      <c r="C71" s="233"/>
      <c r="D71" s="233"/>
      <c r="E71" s="233"/>
      <c r="F71" s="233"/>
      <c r="G71" s="233"/>
      <c r="H71" s="233"/>
    </row>
    <row r="72" spans="1:21">
      <c r="A72" s="233"/>
      <c r="B72" s="233"/>
      <c r="C72" s="233"/>
      <c r="D72" s="233"/>
      <c r="E72" s="233"/>
      <c r="F72" s="233"/>
      <c r="G72" s="233"/>
      <c r="H72" s="233"/>
    </row>
    <row r="73" spans="1:21">
      <c r="A73" s="233"/>
      <c r="B73" s="233"/>
      <c r="C73" s="233"/>
      <c r="D73" s="233"/>
      <c r="E73" s="233"/>
      <c r="F73" s="233"/>
      <c r="G73" s="233"/>
      <c r="H73" s="233"/>
    </row>
    <row r="74" spans="1:21">
      <c r="A74" s="233"/>
      <c r="B74" s="233"/>
      <c r="C74" s="233"/>
      <c r="D74" s="233"/>
      <c r="E74" s="233"/>
      <c r="F74" s="233"/>
      <c r="G74" s="233"/>
      <c r="H74" s="233"/>
    </row>
    <row r="75" spans="1:21">
      <c r="A75" s="233"/>
      <c r="B75" s="233"/>
      <c r="C75" s="233"/>
      <c r="D75" s="233"/>
      <c r="E75" s="233"/>
      <c r="F75" s="233"/>
      <c r="G75" s="233"/>
      <c r="H75" s="233"/>
    </row>
    <row r="76" spans="1:21">
      <c r="A76" s="233"/>
      <c r="B76" s="233"/>
      <c r="C76" s="233"/>
      <c r="D76" s="233"/>
      <c r="E76" s="233"/>
      <c r="F76" s="233"/>
      <c r="G76" s="233"/>
      <c r="H76" s="233"/>
    </row>
    <row r="77" spans="1:21">
      <c r="A77" s="233"/>
      <c r="B77" s="233"/>
      <c r="C77" s="233"/>
      <c r="D77" s="233"/>
      <c r="E77" s="233"/>
      <c r="F77" s="233"/>
      <c r="G77" s="233"/>
      <c r="H77" s="233"/>
    </row>
    <row r="78" spans="1:21">
      <c r="A78" s="233"/>
      <c r="B78" s="233"/>
      <c r="C78" s="233"/>
      <c r="D78" s="233"/>
      <c r="E78" s="233"/>
      <c r="F78" s="233"/>
      <c r="G78" s="233"/>
      <c r="H78" s="233"/>
    </row>
    <row r="79" spans="1:21">
      <c r="A79" s="233"/>
      <c r="B79" s="233"/>
      <c r="C79" s="233"/>
      <c r="D79" s="233"/>
      <c r="E79" s="233"/>
      <c r="F79" s="233"/>
      <c r="G79" s="233"/>
      <c r="H79" s="233"/>
    </row>
    <row r="80" spans="1:21">
      <c r="A80" s="233"/>
      <c r="B80" s="233"/>
      <c r="C80" s="233"/>
      <c r="D80" s="233"/>
      <c r="E80" s="233"/>
      <c r="F80" s="233"/>
      <c r="G80" s="233"/>
      <c r="H80" s="233"/>
    </row>
    <row r="81" spans="1:8">
      <c r="A81" s="233"/>
      <c r="B81" s="233"/>
      <c r="C81" s="233"/>
      <c r="D81" s="233"/>
      <c r="E81" s="233"/>
      <c r="F81" s="233"/>
      <c r="G81" s="233"/>
      <c r="H81" s="233"/>
    </row>
    <row r="82" spans="1:8">
      <c r="A82" s="233"/>
      <c r="B82" s="233"/>
      <c r="C82" s="233"/>
      <c r="D82" s="233"/>
      <c r="E82" s="233"/>
      <c r="F82" s="233"/>
      <c r="G82" s="233"/>
      <c r="H82" s="233"/>
    </row>
    <row r="83" spans="1:8">
      <c r="A83" s="233"/>
      <c r="B83" s="233"/>
      <c r="C83" s="233"/>
      <c r="D83" s="233"/>
      <c r="E83" s="233"/>
      <c r="F83" s="233"/>
      <c r="G83" s="233"/>
      <c r="H83" s="233"/>
    </row>
    <row r="84" spans="1:8">
      <c r="A84" s="233"/>
      <c r="B84" s="233"/>
      <c r="C84" s="233"/>
      <c r="D84" s="233"/>
      <c r="E84" s="233"/>
      <c r="F84" s="233"/>
      <c r="G84" s="233"/>
      <c r="H84" s="233"/>
    </row>
    <row r="85" spans="1:8">
      <c r="A85" s="233"/>
      <c r="B85" s="233"/>
      <c r="C85" s="233"/>
      <c r="D85" s="233"/>
      <c r="E85" s="233"/>
      <c r="F85" s="233"/>
      <c r="G85" s="233"/>
      <c r="H85" s="233"/>
    </row>
    <row r="86" spans="1:8">
      <c r="A86" s="233"/>
      <c r="B86" s="233"/>
      <c r="C86" s="233"/>
      <c r="D86" s="233"/>
      <c r="E86" s="233"/>
      <c r="F86" s="233"/>
      <c r="G86" s="233"/>
      <c r="H86" s="233"/>
    </row>
    <row r="87" spans="1:8">
      <c r="A87" s="233"/>
      <c r="B87" s="233"/>
      <c r="C87" s="233"/>
      <c r="D87" s="233"/>
      <c r="E87" s="233"/>
      <c r="F87" s="233"/>
      <c r="G87" s="233"/>
      <c r="H87" s="233"/>
    </row>
    <row r="88" spans="1:8">
      <c r="A88" s="233"/>
      <c r="B88" s="233"/>
      <c r="C88" s="233"/>
      <c r="D88" s="233"/>
      <c r="E88" s="233"/>
      <c r="F88" s="233"/>
      <c r="G88" s="233"/>
      <c r="H88" s="233"/>
    </row>
    <row r="89" spans="1:8">
      <c r="A89" s="233"/>
      <c r="B89" s="233"/>
      <c r="C89" s="233"/>
      <c r="D89" s="233"/>
      <c r="E89" s="233"/>
      <c r="F89" s="233"/>
      <c r="G89" s="233"/>
      <c r="H89" s="233"/>
    </row>
    <row r="90" spans="1:8">
      <c r="A90" s="233"/>
      <c r="B90" s="233"/>
      <c r="C90" s="233"/>
      <c r="D90" s="233"/>
      <c r="E90" s="233"/>
      <c r="F90" s="233"/>
      <c r="G90" s="233"/>
      <c r="H90" s="233"/>
    </row>
    <row r="91" spans="1:8">
      <c r="A91" s="233"/>
      <c r="B91" s="233"/>
      <c r="C91" s="233"/>
      <c r="D91" s="233"/>
      <c r="E91" s="233"/>
      <c r="F91" s="233"/>
      <c r="G91" s="233"/>
      <c r="H91" s="233"/>
    </row>
    <row r="92" spans="1:8">
      <c r="A92" s="233"/>
      <c r="B92" s="233"/>
      <c r="C92" s="233"/>
      <c r="D92" s="233"/>
      <c r="E92" s="233"/>
      <c r="F92" s="233"/>
      <c r="G92" s="233"/>
      <c r="H92" s="233"/>
    </row>
    <row r="93" spans="1:8">
      <c r="A93" s="233"/>
      <c r="B93" s="233"/>
      <c r="C93" s="233"/>
      <c r="D93" s="233"/>
      <c r="E93" s="233"/>
      <c r="F93" s="233"/>
      <c r="G93" s="233"/>
      <c r="H93" s="233"/>
    </row>
    <row r="94" spans="1:8">
      <c r="A94" s="233"/>
      <c r="B94" s="233"/>
      <c r="C94" s="233"/>
      <c r="D94" s="233"/>
      <c r="E94" s="233"/>
      <c r="F94" s="233"/>
      <c r="G94" s="233"/>
      <c r="H94" s="233"/>
    </row>
    <row r="95" spans="1:8">
      <c r="A95" s="233"/>
      <c r="B95" s="233"/>
      <c r="C95" s="233"/>
      <c r="D95" s="233"/>
      <c r="E95" s="233"/>
      <c r="F95" s="233"/>
      <c r="G95" s="233"/>
      <c r="H95" s="233"/>
    </row>
    <row r="96" spans="1:8">
      <c r="A96" s="233"/>
      <c r="B96" s="233"/>
      <c r="C96" s="233"/>
      <c r="D96" s="233"/>
      <c r="E96" s="233"/>
      <c r="F96" s="233"/>
      <c r="G96" s="233"/>
      <c r="H96" s="233"/>
    </row>
    <row r="97" spans="1:8">
      <c r="A97" s="233"/>
      <c r="B97" s="233"/>
      <c r="C97" s="233"/>
      <c r="D97" s="233"/>
      <c r="E97" s="233"/>
      <c r="F97" s="233"/>
      <c r="G97" s="233"/>
      <c r="H97" s="233"/>
    </row>
    <row r="98" spans="1:8">
      <c r="A98" s="233"/>
      <c r="B98" s="233"/>
      <c r="C98" s="233"/>
      <c r="D98" s="233"/>
      <c r="E98" s="233"/>
      <c r="F98" s="233"/>
      <c r="G98" s="233"/>
      <c r="H98" s="233"/>
    </row>
    <row r="99" spans="1:8">
      <c r="A99" s="233"/>
      <c r="B99" s="233"/>
      <c r="C99" s="233"/>
      <c r="D99" s="233"/>
      <c r="E99" s="233"/>
      <c r="F99" s="233"/>
      <c r="G99" s="233"/>
      <c r="H99" s="233"/>
    </row>
    <row r="100" spans="1:8">
      <c r="A100" s="233"/>
      <c r="B100" s="233"/>
      <c r="C100" s="233"/>
      <c r="D100" s="233"/>
      <c r="E100" s="233"/>
      <c r="F100" s="233"/>
      <c r="G100" s="233"/>
      <c r="H100" s="233"/>
    </row>
    <row r="101" spans="1:8">
      <c r="A101" s="233"/>
      <c r="B101" s="233"/>
      <c r="C101" s="233"/>
      <c r="D101" s="233"/>
      <c r="E101" s="233"/>
      <c r="F101" s="233"/>
      <c r="G101" s="233"/>
      <c r="H101" s="233"/>
    </row>
    <row r="102" spans="1:8">
      <c r="A102" s="233"/>
      <c r="B102" s="233"/>
      <c r="C102" s="233"/>
      <c r="D102" s="233"/>
      <c r="E102" s="233"/>
      <c r="F102" s="233"/>
      <c r="G102" s="233"/>
      <c r="H102" s="233"/>
    </row>
    <row r="103" spans="1:8">
      <c r="A103" s="233"/>
      <c r="B103" s="233"/>
      <c r="C103" s="233"/>
      <c r="D103" s="233"/>
      <c r="E103" s="233"/>
      <c r="F103" s="233"/>
      <c r="G103" s="233"/>
      <c r="H103" s="233"/>
    </row>
    <row r="104" spans="1:8">
      <c r="A104" s="233"/>
      <c r="B104" s="233"/>
      <c r="C104" s="233"/>
      <c r="D104" s="233"/>
      <c r="E104" s="233"/>
      <c r="F104" s="233"/>
      <c r="G104" s="233"/>
      <c r="H104" s="233"/>
    </row>
    <row r="105" spans="1:8">
      <c r="A105" s="233"/>
      <c r="B105" s="233"/>
      <c r="C105" s="233"/>
      <c r="D105" s="233"/>
      <c r="E105" s="233"/>
      <c r="F105" s="233"/>
      <c r="G105" s="233"/>
      <c r="H105" s="233"/>
    </row>
    <row r="106" spans="1:8">
      <c r="A106" s="233"/>
      <c r="B106" s="233"/>
      <c r="C106" s="233"/>
      <c r="D106" s="233"/>
      <c r="E106" s="233"/>
      <c r="F106" s="233"/>
      <c r="G106" s="233"/>
      <c r="H106" s="233"/>
    </row>
    <row r="107" spans="1:8">
      <c r="A107" s="233"/>
      <c r="B107" s="233"/>
      <c r="C107" s="233"/>
      <c r="D107" s="233"/>
      <c r="E107" s="233"/>
      <c r="F107" s="233"/>
      <c r="G107" s="233"/>
      <c r="H107" s="233"/>
    </row>
    <row r="108" spans="1:8">
      <c r="A108" s="233"/>
      <c r="B108" s="233"/>
      <c r="C108" s="233"/>
      <c r="D108" s="233"/>
      <c r="E108" s="233"/>
      <c r="F108" s="233"/>
      <c r="G108" s="233"/>
      <c r="H108" s="233"/>
    </row>
    <row r="109" spans="1:8">
      <c r="A109" s="233"/>
      <c r="B109" s="233"/>
      <c r="C109" s="233"/>
      <c r="D109" s="233"/>
      <c r="E109" s="233"/>
      <c r="F109" s="233"/>
      <c r="G109" s="233"/>
      <c r="H109" s="233"/>
    </row>
  </sheetData>
  <phoneticPr fontId="26" type="noConversion"/>
  <pageMargins left="0.75" right="0.75" top="1" bottom="1" header="0.5" footer="0.5"/>
  <pageSetup paperSize="9" orientation="portrait" horizontalDpi="4294967293" verticalDpi="0"/>
  <headerFooter alignWithMargins="0"/>
  <drawing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tabColor indexed="11"/>
  </sheetPr>
  <dimension ref="A1:R70"/>
  <sheetViews>
    <sheetView zoomScale="120" zoomScaleNormal="120" workbookViewId="0">
      <selection activeCell="B2" sqref="B2"/>
    </sheetView>
  </sheetViews>
  <sheetFormatPr defaultColWidth="8.81640625" defaultRowHeight="12.5" outlineLevelRow="1" outlineLevelCol="1"/>
  <cols>
    <col min="1" max="1" width="41.453125" customWidth="1"/>
    <col min="2" max="2" width="15" customWidth="1"/>
    <col min="4" max="4" width="19.453125" customWidth="1" outlineLevel="1"/>
    <col min="5" max="7" width="9.1796875" customWidth="1" outlineLevel="1"/>
    <col min="8" max="8" width="12" customWidth="1" outlineLevel="1"/>
    <col min="9" max="9" width="38.1796875" customWidth="1" outlineLevel="1"/>
    <col min="10" max="10" width="38" customWidth="1"/>
  </cols>
  <sheetData>
    <row r="1" spans="1:18" ht="18">
      <c r="A1" s="43" t="str">
        <f>'Title Page'!F3</f>
        <v>OreSat - CS0</v>
      </c>
      <c r="B1" s="685" t="s">
        <v>140</v>
      </c>
      <c r="C1" s="44"/>
      <c r="D1" s="617" t="str">
        <f>'Title Page'!F3</f>
        <v>OreSat - CS0</v>
      </c>
      <c r="E1" s="58" t="s">
        <v>715</v>
      </c>
      <c r="F1" s="58" t="s">
        <v>714</v>
      </c>
      <c r="G1" s="58"/>
      <c r="H1" s="58"/>
      <c r="I1" s="44"/>
      <c r="J1" s="44"/>
      <c r="K1" s="44"/>
      <c r="L1" s="44"/>
      <c r="M1" s="44"/>
      <c r="N1" s="44"/>
      <c r="O1" s="44"/>
      <c r="P1" s="44"/>
      <c r="Q1" s="44"/>
      <c r="R1" s="44"/>
    </row>
    <row r="2" spans="1:18" ht="20">
      <c r="A2" s="45" t="s">
        <v>801</v>
      </c>
      <c r="B2" s="44"/>
      <c r="C2" s="44"/>
      <c r="D2" s="58" t="str">
        <f>'Title Page'!G1</f>
        <v xml:space="preserve"> Version: 2.5.5</v>
      </c>
      <c r="E2" s="58"/>
      <c r="F2" s="58" t="str">
        <f>'Title Page'!F23</f>
        <v>2019 June 21</v>
      </c>
      <c r="G2" s="58"/>
      <c r="H2" s="58"/>
      <c r="I2" s="44"/>
      <c r="J2" s="44"/>
      <c r="K2" s="44"/>
      <c r="L2" s="44"/>
      <c r="M2" s="44"/>
      <c r="N2" s="44"/>
      <c r="O2" s="44"/>
      <c r="P2" s="44"/>
      <c r="Q2" s="44"/>
      <c r="R2" s="44"/>
    </row>
    <row r="3" spans="1:18">
      <c r="A3" s="44"/>
      <c r="B3" s="44"/>
      <c r="C3" s="44"/>
      <c r="D3" s="44"/>
      <c r="E3" s="44"/>
      <c r="F3" s="44"/>
      <c r="G3" s="44"/>
      <c r="H3" s="44"/>
      <c r="I3" s="44"/>
      <c r="J3" s="44"/>
      <c r="K3" s="44"/>
      <c r="L3" s="44"/>
      <c r="M3" s="44"/>
      <c r="N3" s="44"/>
      <c r="O3" s="44"/>
      <c r="P3" s="44"/>
      <c r="Q3" s="44"/>
      <c r="R3" s="44"/>
    </row>
    <row r="4" spans="1:18" ht="13">
      <c r="A4" s="29" t="s">
        <v>716</v>
      </c>
      <c r="B4" s="29" t="s">
        <v>717</v>
      </c>
      <c r="C4" s="29" t="s">
        <v>763</v>
      </c>
      <c r="D4" s="29" t="s">
        <v>764</v>
      </c>
      <c r="E4" s="37"/>
      <c r="F4" s="37"/>
      <c r="G4" s="37"/>
      <c r="H4" s="37"/>
      <c r="I4" s="37"/>
      <c r="J4" s="37"/>
      <c r="K4" s="37"/>
      <c r="L4" s="37"/>
      <c r="M4" s="37"/>
      <c r="N4" s="37"/>
      <c r="O4" s="37"/>
      <c r="P4" s="37"/>
      <c r="Q4" s="37"/>
      <c r="R4" s="37"/>
    </row>
    <row r="5" spans="1:18" ht="13">
      <c r="A5" s="63" t="s">
        <v>773</v>
      </c>
      <c r="B5" s="23"/>
      <c r="C5" s="23"/>
      <c r="D5" s="23"/>
      <c r="E5" s="23"/>
      <c r="F5" s="23"/>
      <c r="G5" s="23"/>
      <c r="H5" s="23"/>
      <c r="I5" s="23"/>
      <c r="J5" s="23"/>
      <c r="K5" s="23"/>
      <c r="L5" s="23"/>
      <c r="M5" s="23"/>
      <c r="N5" s="23"/>
      <c r="O5" s="23"/>
      <c r="P5" s="23"/>
      <c r="Q5" s="23"/>
      <c r="R5" s="23"/>
    </row>
    <row r="6" spans="1:18">
      <c r="A6" s="91" t="s">
        <v>382</v>
      </c>
      <c r="B6" s="427">
        <f>Transmitters!E16</f>
        <v>2</v>
      </c>
      <c r="C6" s="91" t="s">
        <v>781</v>
      </c>
      <c r="D6" s="419" t="s">
        <v>385</v>
      </c>
      <c r="E6" s="419"/>
      <c r="F6" s="419"/>
      <c r="G6" s="419"/>
      <c r="H6" s="419"/>
      <c r="I6" s="419"/>
      <c r="J6" s="420" t="s">
        <v>414</v>
      </c>
      <c r="K6" s="411"/>
      <c r="L6" s="410"/>
      <c r="M6" s="91"/>
      <c r="N6" s="91"/>
      <c r="O6" s="91"/>
      <c r="P6" s="91"/>
      <c r="Q6" s="91"/>
      <c r="R6" s="91"/>
    </row>
    <row r="7" spans="1:18">
      <c r="A7" s="424" t="s">
        <v>787</v>
      </c>
      <c r="B7" s="132">
        <f>10*LOG10(B6)</f>
        <v>3.0102999566398121</v>
      </c>
      <c r="C7" s="91" t="s">
        <v>782</v>
      </c>
      <c r="D7" s="419" t="s">
        <v>376</v>
      </c>
      <c r="E7" s="419"/>
      <c r="F7" s="419"/>
      <c r="G7" s="419"/>
      <c r="H7" s="419"/>
      <c r="I7" s="419"/>
      <c r="J7" s="91"/>
      <c r="K7" s="91"/>
      <c r="L7" s="91"/>
      <c r="M7" s="91"/>
      <c r="N7" s="91"/>
      <c r="O7" s="91"/>
      <c r="P7" s="91"/>
      <c r="Q7" s="91"/>
      <c r="R7" s="91"/>
    </row>
    <row r="8" spans="1:18">
      <c r="A8" s="424" t="s">
        <v>788</v>
      </c>
      <c r="B8" s="347">
        <f>B7+30</f>
        <v>33.010299956639813</v>
      </c>
      <c r="C8" s="91" t="s">
        <v>783</v>
      </c>
      <c r="D8" s="419" t="s">
        <v>377</v>
      </c>
      <c r="E8" s="419"/>
      <c r="F8" s="419"/>
      <c r="G8" s="419"/>
      <c r="H8" s="419"/>
      <c r="I8" s="419"/>
      <c r="J8" s="91"/>
      <c r="K8" s="91"/>
      <c r="L8" s="91"/>
      <c r="M8" s="91"/>
      <c r="N8" s="91"/>
      <c r="O8" s="91"/>
      <c r="P8" s="91"/>
      <c r="Q8" s="91"/>
      <c r="R8" s="91"/>
    </row>
    <row r="9" spans="1:18">
      <c r="A9" s="91" t="s">
        <v>383</v>
      </c>
      <c r="B9" s="428">
        <f>Transmitters!I43</f>
        <v>2.6158340000000004</v>
      </c>
      <c r="C9" s="91" t="s">
        <v>757</v>
      </c>
      <c r="D9" s="419" t="s">
        <v>378</v>
      </c>
      <c r="E9" s="419"/>
      <c r="F9" s="419"/>
      <c r="G9" s="419"/>
      <c r="H9" s="419"/>
      <c r="I9" s="419"/>
      <c r="J9" s="91"/>
      <c r="K9" s="91"/>
      <c r="L9" s="91"/>
      <c r="M9" s="91"/>
      <c r="N9" s="91"/>
      <c r="O9" s="91"/>
      <c r="P9" s="91"/>
      <c r="Q9" s="91"/>
      <c r="R9" s="91"/>
    </row>
    <row r="10" spans="1:18">
      <c r="A10" s="91" t="s">
        <v>766</v>
      </c>
      <c r="B10" s="428">
        <f>INDEX('Antenna Gain'!N13:N16,'Antenna Gain'!E11,1)</f>
        <v>15.5</v>
      </c>
      <c r="C10" s="91" t="s">
        <v>36</v>
      </c>
      <c r="D10" s="419" t="s">
        <v>650</v>
      </c>
      <c r="E10" s="419"/>
      <c r="F10" s="419"/>
      <c r="G10" s="419"/>
      <c r="H10" s="419"/>
      <c r="I10" s="419"/>
      <c r="J10" s="91"/>
      <c r="K10" s="91"/>
      <c r="L10" s="91"/>
      <c r="M10" s="91"/>
      <c r="N10" s="91"/>
      <c r="O10" s="91"/>
      <c r="P10" s="91"/>
      <c r="Q10" s="91"/>
      <c r="R10" s="91"/>
    </row>
    <row r="11" spans="1:18">
      <c r="A11" s="91" t="s">
        <v>804</v>
      </c>
      <c r="B11" s="39">
        <f>B7-B9+B10</f>
        <v>15.894465956639811</v>
      </c>
      <c r="C11" s="91" t="s">
        <v>782</v>
      </c>
      <c r="D11" s="419" t="s">
        <v>803</v>
      </c>
      <c r="E11" s="419"/>
      <c r="F11" s="419"/>
      <c r="G11" s="419"/>
      <c r="H11" s="419"/>
      <c r="I11" s="419"/>
      <c r="J11" s="91"/>
      <c r="K11" s="91"/>
      <c r="L11" s="91"/>
      <c r="M11" s="91"/>
      <c r="N11" s="91"/>
      <c r="O11" s="91"/>
      <c r="P11" s="91"/>
      <c r="Q11" s="91"/>
      <c r="R11" s="91"/>
    </row>
    <row r="12" spans="1:18" ht="13">
      <c r="A12" s="63" t="s">
        <v>802</v>
      </c>
      <c r="B12" s="64"/>
      <c r="C12" s="23"/>
      <c r="D12" s="23"/>
      <c r="E12" s="23"/>
      <c r="F12" s="23"/>
      <c r="G12" s="23"/>
      <c r="H12" s="23"/>
      <c r="I12" s="23"/>
      <c r="J12" s="23"/>
      <c r="K12" s="23"/>
      <c r="L12" s="23"/>
      <c r="M12" s="23"/>
      <c r="N12" s="23"/>
      <c r="O12" s="23"/>
      <c r="P12" s="23"/>
      <c r="Q12" s="23"/>
      <c r="R12" s="23"/>
    </row>
    <row r="13" spans="1:18">
      <c r="A13" s="91" t="s">
        <v>794</v>
      </c>
      <c r="B13" s="428">
        <f>'Antenna Pointing Losses'!K43</f>
        <v>0.31396976431536944</v>
      </c>
      <c r="C13" s="91" t="s">
        <v>757</v>
      </c>
      <c r="D13" s="419" t="s">
        <v>651</v>
      </c>
      <c r="E13" s="419"/>
      <c r="F13" s="419"/>
      <c r="G13" s="419"/>
      <c r="H13" s="419"/>
      <c r="I13" s="419"/>
      <c r="J13" s="91"/>
      <c r="K13" s="91"/>
      <c r="L13" s="91"/>
      <c r="M13" s="91"/>
      <c r="N13" s="91"/>
      <c r="O13" s="91"/>
      <c r="P13" s="91"/>
      <c r="Q13" s="91"/>
      <c r="R13" s="91"/>
    </row>
    <row r="14" spans="1:18">
      <c r="A14" s="91" t="s">
        <v>387</v>
      </c>
      <c r="B14" s="427">
        <f>'Antenna Polarization Loss'!F40</f>
        <v>5.7437907597720189E-2</v>
      </c>
      <c r="C14" s="91" t="s">
        <v>757</v>
      </c>
      <c r="D14" s="419" t="s">
        <v>395</v>
      </c>
      <c r="E14" s="419"/>
      <c r="F14" s="419"/>
      <c r="G14" s="419"/>
      <c r="H14" s="419"/>
      <c r="I14" s="419"/>
      <c r="J14" s="91"/>
      <c r="K14" s="91"/>
      <c r="L14" s="91"/>
      <c r="M14" s="91"/>
      <c r="N14" s="91"/>
      <c r="O14" s="91"/>
      <c r="P14" s="91"/>
      <c r="Q14" s="91"/>
      <c r="R14" s="91"/>
    </row>
    <row r="15" spans="1:18">
      <c r="A15" s="91" t="s">
        <v>756</v>
      </c>
      <c r="B15" s="429">
        <f>Frequency!M12</f>
        <v>148.5169324637277</v>
      </c>
      <c r="C15" s="91" t="s">
        <v>757</v>
      </c>
      <c r="D15" s="419" t="s">
        <v>357</v>
      </c>
      <c r="E15" s="419"/>
      <c r="F15" s="419"/>
      <c r="G15" s="419"/>
      <c r="H15" s="419"/>
      <c r="I15" s="419"/>
      <c r="J15" s="91"/>
      <c r="K15" s="91"/>
      <c r="L15" s="91"/>
      <c r="M15" s="91"/>
      <c r="N15" s="91"/>
      <c r="O15" s="91"/>
      <c r="P15" s="91"/>
      <c r="Q15" s="91"/>
      <c r="R15" s="91"/>
    </row>
    <row r="16" spans="1:18">
      <c r="A16" s="91" t="s">
        <v>769</v>
      </c>
      <c r="B16" s="428">
        <f>'Atmos. &amp; Ionos. Losses'!D23</f>
        <v>1.1000000000000001</v>
      </c>
      <c r="C16" s="91" t="s">
        <v>757</v>
      </c>
      <c r="D16" s="419" t="s">
        <v>279</v>
      </c>
      <c r="E16" s="419"/>
      <c r="F16" s="419"/>
      <c r="G16" s="419"/>
      <c r="H16" s="419"/>
      <c r="I16" s="419"/>
      <c r="J16" s="91"/>
      <c r="K16" s="91"/>
      <c r="L16" s="91"/>
      <c r="M16" s="91"/>
      <c r="N16" s="91"/>
      <c r="O16" s="91"/>
      <c r="P16" s="91"/>
      <c r="Q16" s="91"/>
      <c r="R16" s="91"/>
    </row>
    <row r="17" spans="1:18">
      <c r="A17" s="91" t="s">
        <v>770</v>
      </c>
      <c r="B17" s="428">
        <f>INDEX('Atmos. &amp; Ionos. Losses'!D32:D35,Frequency!L10,1)</f>
        <v>0.4</v>
      </c>
      <c r="C17" s="91" t="s">
        <v>757</v>
      </c>
      <c r="D17" s="419" t="s">
        <v>281</v>
      </c>
      <c r="E17" s="419"/>
      <c r="F17" s="419"/>
      <c r="G17" s="419"/>
      <c r="H17" s="419"/>
      <c r="I17" s="419"/>
      <c r="J17" s="91"/>
      <c r="K17" s="91"/>
      <c r="L17" s="91"/>
      <c r="M17" s="91"/>
      <c r="N17" s="91"/>
      <c r="O17" s="91"/>
      <c r="P17" s="91"/>
      <c r="Q17" s="91"/>
      <c r="R17" s="91"/>
    </row>
    <row r="18" spans="1:18">
      <c r="A18" s="91" t="s">
        <v>771</v>
      </c>
      <c r="B18" s="431">
        <v>0</v>
      </c>
      <c r="C18" s="91" t="s">
        <v>757</v>
      </c>
      <c r="D18" s="419" t="s">
        <v>289</v>
      </c>
      <c r="E18" s="419"/>
      <c r="F18" s="419"/>
      <c r="G18" s="419"/>
      <c r="H18" s="419"/>
      <c r="I18" s="419"/>
      <c r="J18" s="91"/>
      <c r="K18" s="91"/>
      <c r="L18" s="91"/>
      <c r="M18" s="91"/>
      <c r="N18" s="91"/>
      <c r="O18" s="91"/>
      <c r="P18" s="91"/>
      <c r="Q18" s="91"/>
      <c r="R18" s="91"/>
    </row>
    <row r="19" spans="1:18">
      <c r="A19" s="91" t="s">
        <v>470</v>
      </c>
      <c r="B19" s="39">
        <f>B11-SUM(B13:B18)</f>
        <v>-134.49387417900098</v>
      </c>
      <c r="C19" s="91" t="s">
        <v>782</v>
      </c>
      <c r="D19" s="419" t="s">
        <v>471</v>
      </c>
      <c r="E19" s="419"/>
      <c r="F19" s="419"/>
      <c r="G19" s="419"/>
      <c r="H19" s="419"/>
      <c r="I19" s="419"/>
      <c r="J19" s="91"/>
      <c r="K19" s="91"/>
      <c r="L19" s="91"/>
      <c r="M19" s="91"/>
      <c r="N19" s="91"/>
      <c r="O19" s="91"/>
      <c r="P19" s="91"/>
      <c r="Q19" s="91"/>
      <c r="R19" s="91"/>
    </row>
    <row r="20" spans="1:18" ht="13">
      <c r="A20" s="63" t="s">
        <v>413</v>
      </c>
      <c r="B20" s="23"/>
      <c r="C20" s="23"/>
      <c r="D20" s="23"/>
      <c r="E20" s="23"/>
      <c r="F20" s="23"/>
      <c r="G20" s="23"/>
      <c r="H20" s="23"/>
      <c r="I20" s="23"/>
      <c r="J20" s="36"/>
      <c r="K20" s="42"/>
      <c r="L20" s="42"/>
      <c r="M20" s="42"/>
      <c r="N20" s="46"/>
      <c r="O20" s="47"/>
      <c r="P20" s="47"/>
      <c r="Q20" s="47"/>
      <c r="R20" s="23"/>
    </row>
    <row r="21" spans="1:18" ht="13" outlineLevel="1">
      <c r="A21" s="63" t="s">
        <v>835</v>
      </c>
      <c r="B21" s="23"/>
      <c r="C21" s="23"/>
      <c r="D21" s="23"/>
      <c r="E21" s="23"/>
      <c r="F21" s="23"/>
      <c r="G21" s="23"/>
      <c r="H21" s="23"/>
      <c r="I21" s="23"/>
      <c r="J21" s="36"/>
      <c r="K21" s="42"/>
      <c r="L21" s="42"/>
      <c r="M21" s="42"/>
      <c r="N21" s="46"/>
      <c r="O21" s="47"/>
      <c r="P21" s="47"/>
      <c r="Q21" s="47"/>
      <c r="R21" s="23"/>
    </row>
    <row r="22" spans="1:18" outlineLevel="1">
      <c r="A22" s="426" t="s">
        <v>805</v>
      </c>
      <c r="B22" s="428">
        <f>'Antenna Pointing Losses'!K63</f>
        <v>0.3</v>
      </c>
      <c r="C22" s="91" t="s">
        <v>757</v>
      </c>
      <c r="D22" s="419" t="s">
        <v>873</v>
      </c>
      <c r="E22" s="419"/>
      <c r="F22" s="419"/>
      <c r="G22" s="419"/>
      <c r="H22" s="419"/>
      <c r="I22" s="419"/>
      <c r="J22" s="91"/>
      <c r="K22" s="429"/>
      <c r="L22" s="91"/>
      <c r="M22" s="91"/>
      <c r="N22" s="91"/>
      <c r="O22" s="91"/>
      <c r="P22" s="91"/>
      <c r="Q22" s="91"/>
      <c r="R22" s="91"/>
    </row>
    <row r="23" spans="1:18" outlineLevel="1">
      <c r="A23" s="91" t="s">
        <v>813</v>
      </c>
      <c r="B23" s="429">
        <f>INDEX('Antenna Gain'!H26:H32,'Antenna Gain'!E24,1)</f>
        <v>1.4</v>
      </c>
      <c r="C23" s="91" t="s">
        <v>36</v>
      </c>
      <c r="D23" s="419" t="s">
        <v>649</v>
      </c>
      <c r="E23" s="419"/>
      <c r="F23" s="419"/>
      <c r="G23" s="419"/>
      <c r="H23" s="419"/>
      <c r="I23" s="419"/>
      <c r="J23" s="91"/>
      <c r="K23" s="429"/>
      <c r="L23" s="91"/>
      <c r="M23" s="91"/>
      <c r="N23" s="91"/>
      <c r="O23" s="91"/>
      <c r="P23" s="91"/>
      <c r="Q23" s="91"/>
      <c r="R23" s="91"/>
    </row>
    <row r="24" spans="1:18" outlineLevel="1">
      <c r="A24" s="91" t="s">
        <v>277</v>
      </c>
      <c r="B24" s="428">
        <f>Receivers!J55</f>
        <v>1.4135599999999999</v>
      </c>
      <c r="C24" s="91" t="s">
        <v>757</v>
      </c>
      <c r="D24" s="419" t="s">
        <v>399</v>
      </c>
      <c r="E24" s="419"/>
      <c r="F24" s="419"/>
      <c r="G24" s="419"/>
      <c r="H24" s="419"/>
      <c r="I24" s="419"/>
      <c r="J24" s="91"/>
      <c r="K24" s="91"/>
      <c r="L24" s="91"/>
      <c r="M24" s="91"/>
      <c r="N24" s="91"/>
      <c r="O24" s="91"/>
      <c r="P24" s="91"/>
      <c r="Q24" s="91"/>
      <c r="R24" s="91"/>
    </row>
    <row r="25" spans="1:18" outlineLevel="1">
      <c r="A25" s="91" t="s">
        <v>814</v>
      </c>
      <c r="B25" s="432">
        <f>Receivers!J70</f>
        <v>214.63750846737568</v>
      </c>
      <c r="C25" s="91" t="s">
        <v>785</v>
      </c>
      <c r="D25" s="419" t="s">
        <v>398</v>
      </c>
      <c r="E25" s="419"/>
      <c r="F25" s="419"/>
      <c r="G25" s="419"/>
      <c r="H25" s="419"/>
      <c r="I25" s="419"/>
      <c r="J25" s="91"/>
      <c r="K25" s="432"/>
      <c r="L25" s="91"/>
      <c r="M25" s="91"/>
      <c r="N25" s="91"/>
      <c r="O25" s="91"/>
      <c r="P25" s="91"/>
      <c r="Q25" s="91"/>
      <c r="R25" s="91"/>
    </row>
    <row r="26" spans="1:18" outlineLevel="1">
      <c r="A26" s="91" t="s">
        <v>815</v>
      </c>
      <c r="B26" s="429">
        <f>B23-B24-10*LOG10(B25)</f>
        <v>-23.330616183614666</v>
      </c>
      <c r="C26" s="91" t="s">
        <v>786</v>
      </c>
      <c r="D26" s="141" t="s">
        <v>370</v>
      </c>
      <c r="E26" s="419"/>
      <c r="F26" s="419"/>
      <c r="G26" s="419"/>
      <c r="H26" s="419"/>
      <c r="I26" s="419"/>
      <c r="J26" s="91"/>
      <c r="K26" s="429"/>
      <c r="L26" s="91"/>
      <c r="M26" s="91"/>
      <c r="N26" s="91"/>
      <c r="O26" s="91"/>
      <c r="P26" s="91"/>
      <c r="Q26" s="91"/>
      <c r="R26" s="91"/>
    </row>
    <row r="27" spans="1:18" outlineLevel="1">
      <c r="A27" s="91" t="s">
        <v>816</v>
      </c>
      <c r="B27" s="415">
        <f>B19-B22-F27+B26</f>
        <v>70.475509637384334</v>
      </c>
      <c r="C27" s="91" t="s">
        <v>791</v>
      </c>
      <c r="D27" s="437" t="s">
        <v>789</v>
      </c>
      <c r="E27" s="438"/>
      <c r="F27" s="438">
        <v>-228.6</v>
      </c>
      <c r="G27" s="439" t="s">
        <v>790</v>
      </c>
      <c r="H27" s="419"/>
      <c r="I27" s="419"/>
      <c r="J27" s="91"/>
      <c r="K27" s="301"/>
      <c r="L27" s="91"/>
      <c r="M27" s="91"/>
      <c r="N27" s="91"/>
      <c r="O27" s="91"/>
      <c r="P27" s="91"/>
      <c r="Q27" s="91"/>
      <c r="R27" s="91"/>
    </row>
    <row r="28" spans="1:18" outlineLevel="1">
      <c r="A28" s="91" t="s">
        <v>778</v>
      </c>
      <c r="B28" s="380">
        <v>100000</v>
      </c>
      <c r="C28" s="91" t="s">
        <v>792</v>
      </c>
      <c r="D28" s="419" t="s">
        <v>299</v>
      </c>
      <c r="E28" s="419"/>
      <c r="F28" s="419"/>
      <c r="G28" s="419"/>
      <c r="H28" s="419"/>
      <c r="I28" s="419"/>
      <c r="J28" s="91"/>
      <c r="K28" s="444"/>
      <c r="L28" s="91"/>
      <c r="M28" s="91"/>
      <c r="N28" s="91"/>
      <c r="O28" s="91"/>
      <c r="P28" s="91"/>
      <c r="Q28" s="91"/>
      <c r="R28" s="91"/>
    </row>
    <row r="29" spans="1:18" outlineLevel="1">
      <c r="A29" s="424" t="s">
        <v>793</v>
      </c>
      <c r="B29" s="440">
        <f>10*LOG10(B28)</f>
        <v>50</v>
      </c>
      <c r="C29" s="91" t="s">
        <v>791</v>
      </c>
      <c r="D29" s="419" t="s">
        <v>300</v>
      </c>
      <c r="E29" s="419"/>
      <c r="F29" s="419"/>
      <c r="G29" s="419"/>
      <c r="H29" s="419"/>
      <c r="I29" s="419"/>
      <c r="J29" s="91"/>
      <c r="K29" s="301"/>
      <c r="L29" s="91"/>
      <c r="M29" s="91"/>
      <c r="N29" s="91"/>
      <c r="O29" s="91"/>
      <c r="P29" s="91"/>
      <c r="Q29" s="91"/>
      <c r="R29" s="91"/>
    </row>
    <row r="30" spans="1:18" outlineLevel="1">
      <c r="A30" s="91" t="s">
        <v>415</v>
      </c>
      <c r="B30" s="415">
        <f>B27-B29</f>
        <v>20.475509637384334</v>
      </c>
      <c r="C30" s="91" t="s">
        <v>757</v>
      </c>
      <c r="D30" s="419" t="s">
        <v>715</v>
      </c>
      <c r="E30" s="419"/>
      <c r="F30" s="419"/>
      <c r="G30" s="419"/>
      <c r="H30" s="419"/>
      <c r="I30" s="419"/>
      <c r="J30" s="91"/>
      <c r="K30" s="301"/>
      <c r="L30" s="91"/>
      <c r="M30" s="91"/>
      <c r="N30" s="91"/>
      <c r="O30" s="91"/>
      <c r="P30" s="91"/>
      <c r="Q30" s="91"/>
      <c r="R30" s="91"/>
    </row>
    <row r="31" spans="1:18" outlineLevel="1">
      <c r="A31" s="91"/>
      <c r="B31" s="451"/>
      <c r="C31" s="91"/>
      <c r="D31" s="419"/>
      <c r="E31" s="419"/>
      <c r="F31" s="419"/>
      <c r="G31" s="419"/>
      <c r="H31" s="419"/>
      <c r="I31" s="419"/>
      <c r="J31" s="91"/>
      <c r="K31" s="301"/>
      <c r="L31" s="91"/>
      <c r="M31" s="91"/>
      <c r="N31" s="91"/>
      <c r="O31" s="91"/>
      <c r="P31" s="91"/>
      <c r="Q31" s="91"/>
      <c r="R31" s="91"/>
    </row>
    <row r="32" spans="1:18" outlineLevel="1">
      <c r="A32" s="91" t="s">
        <v>400</v>
      </c>
      <c r="B32" s="447" t="str">
        <f>INDEX('Modulation-Demodulation Method'!C6:C24,'Modulation-Demodulation Method'!E3,1)</f>
        <v>GMSK w/ BT=0.3</v>
      </c>
      <c r="C32" s="425" t="s">
        <v>715</v>
      </c>
      <c r="D32" s="450" t="s">
        <v>403</v>
      </c>
      <c r="E32" s="419"/>
      <c r="F32" s="419"/>
      <c r="G32" s="419"/>
      <c r="H32" s="419"/>
      <c r="I32" s="419"/>
      <c r="J32" s="91"/>
      <c r="K32" s="301"/>
      <c r="L32" s="91"/>
      <c r="M32" s="91"/>
      <c r="N32" s="91"/>
      <c r="O32" s="91"/>
      <c r="P32" s="91"/>
      <c r="Q32" s="91"/>
      <c r="R32" s="91"/>
    </row>
    <row r="33" spans="1:18" outlineLevel="1">
      <c r="A33" s="91" t="s">
        <v>397</v>
      </c>
      <c r="B33" s="449" t="str">
        <f>INDEX('Modulation-Demodulation Method'!D6:D24,'Modulation-Demodulation Method'!E3,1)</f>
        <v>None</v>
      </c>
      <c r="C33" s="448"/>
      <c r="D33" s="423" t="s">
        <v>404</v>
      </c>
      <c r="E33" s="419"/>
      <c r="F33" s="419"/>
      <c r="G33" s="419"/>
      <c r="H33" s="419"/>
      <c r="I33" s="419"/>
      <c r="J33" s="91"/>
      <c r="K33" s="301"/>
      <c r="L33" s="91"/>
      <c r="M33" s="91"/>
      <c r="N33" s="91"/>
      <c r="O33" s="91"/>
      <c r="P33" s="91"/>
      <c r="Q33" s="91"/>
      <c r="R33" s="91"/>
    </row>
    <row r="34" spans="1:18" outlineLevel="1">
      <c r="A34" s="91"/>
      <c r="B34" s="451"/>
      <c r="C34" s="91"/>
      <c r="D34" s="419"/>
      <c r="E34" s="419"/>
      <c r="F34" s="419"/>
      <c r="G34" s="419"/>
      <c r="H34" s="419"/>
      <c r="I34" s="419"/>
      <c r="J34" s="91"/>
      <c r="K34" s="301"/>
      <c r="L34" s="91"/>
      <c r="M34" s="91"/>
      <c r="N34" s="91"/>
      <c r="O34" s="91"/>
      <c r="P34" s="91"/>
      <c r="Q34" s="91"/>
      <c r="R34" s="91"/>
    </row>
    <row r="35" spans="1:18" outlineLevel="1">
      <c r="A35" s="91" t="s">
        <v>302</v>
      </c>
      <c r="B35" s="416">
        <f>INDEX('Modulation-Demodulation Method'!E6:E24,'Modulation-Demodulation Method'!E3,1)</f>
        <v>1.0000000000000001E-5</v>
      </c>
      <c r="C35" s="425"/>
      <c r="D35" s="423" t="s">
        <v>405</v>
      </c>
      <c r="E35" s="419"/>
      <c r="F35" s="419"/>
      <c r="G35" s="419"/>
      <c r="H35" s="419"/>
      <c r="I35" s="419"/>
      <c r="J35" s="91"/>
      <c r="K35" s="91"/>
      <c r="L35" s="91"/>
      <c r="M35" s="91"/>
      <c r="N35" s="91"/>
      <c r="O35" s="91"/>
      <c r="P35" s="91"/>
      <c r="Q35" s="91"/>
      <c r="R35" s="91"/>
    </row>
    <row r="36" spans="1:18" outlineLevel="1">
      <c r="A36" s="91"/>
      <c r="B36" s="452"/>
      <c r="C36" s="425"/>
      <c r="D36" s="423"/>
      <c r="E36" s="419"/>
      <c r="F36" s="419"/>
      <c r="G36" s="419"/>
      <c r="H36" s="419"/>
      <c r="I36" s="419"/>
      <c r="J36" s="91"/>
      <c r="K36" s="91"/>
      <c r="L36" s="91"/>
      <c r="M36" s="91"/>
      <c r="N36" s="91"/>
      <c r="O36" s="91"/>
      <c r="P36" s="91"/>
      <c r="Q36" s="91"/>
      <c r="R36" s="91"/>
    </row>
    <row r="37" spans="1:18" outlineLevel="1">
      <c r="A37" s="91" t="s">
        <v>333</v>
      </c>
      <c r="B37" s="453">
        <f>'Modulation-Demodulation Method'!E26</f>
        <v>0.5</v>
      </c>
      <c r="C37" s="91" t="s">
        <v>757</v>
      </c>
      <c r="D37" s="419" t="s">
        <v>407</v>
      </c>
      <c r="E37" s="419"/>
      <c r="F37" s="419"/>
      <c r="G37" s="419"/>
      <c r="H37" s="419"/>
      <c r="I37" s="419"/>
      <c r="J37" s="91"/>
      <c r="K37" s="91"/>
      <c r="L37" s="91"/>
      <c r="M37" s="91"/>
      <c r="N37" s="91"/>
      <c r="O37" s="91"/>
      <c r="P37" s="91"/>
      <c r="Q37" s="91"/>
      <c r="R37" s="91"/>
    </row>
    <row r="38" spans="1:18" outlineLevel="1">
      <c r="A38" s="91"/>
      <c r="B38" s="453"/>
      <c r="C38" s="91"/>
      <c r="D38" s="419"/>
      <c r="E38" s="419"/>
      <c r="F38" s="419"/>
      <c r="G38" s="419"/>
      <c r="H38" s="419"/>
      <c r="I38" s="419"/>
      <c r="J38" s="91"/>
      <c r="K38" s="91"/>
      <c r="L38" s="91"/>
      <c r="M38" s="91"/>
      <c r="N38" s="91"/>
      <c r="O38" s="91"/>
      <c r="P38" s="91"/>
      <c r="Q38" s="91"/>
      <c r="R38" s="91"/>
    </row>
    <row r="39" spans="1:18" outlineLevel="1">
      <c r="A39" s="91" t="s">
        <v>779</v>
      </c>
      <c r="B39" s="454">
        <f>INDEX('Modulation-Demodulation Method'!F6:F24,'Modulation-Demodulation Method'!E3,1)</f>
        <v>10.4</v>
      </c>
      <c r="C39" s="91" t="s">
        <v>757</v>
      </c>
      <c r="D39" s="419" t="s">
        <v>408</v>
      </c>
      <c r="E39" s="419"/>
      <c r="F39" s="419"/>
      <c r="G39" s="419"/>
      <c r="H39" s="419"/>
      <c r="I39" s="419"/>
      <c r="J39" s="91"/>
      <c r="K39" s="429"/>
      <c r="L39" s="91"/>
      <c r="M39" s="91"/>
      <c r="N39" s="91"/>
      <c r="O39" s="91"/>
      <c r="P39" s="91"/>
      <c r="Q39" s="91"/>
      <c r="R39" s="91"/>
    </row>
    <row r="40" spans="1:18" outlineLevel="1">
      <c r="A40" s="91"/>
      <c r="B40" s="454"/>
      <c r="C40" s="91"/>
      <c r="D40" s="419"/>
      <c r="E40" s="419"/>
      <c r="F40" s="419"/>
      <c r="G40" s="419"/>
      <c r="H40" s="419"/>
      <c r="I40" s="419"/>
      <c r="J40" s="91"/>
      <c r="K40" s="429"/>
      <c r="L40" s="91"/>
      <c r="M40" s="91"/>
      <c r="N40" s="91"/>
      <c r="O40" s="91"/>
      <c r="P40" s="91"/>
      <c r="Q40" s="91"/>
      <c r="R40" s="91"/>
    </row>
    <row r="41" spans="1:18" outlineLevel="1">
      <c r="A41" s="91" t="s">
        <v>334</v>
      </c>
      <c r="B41" s="417">
        <f>'Modulation-Demodulation Method'!H5</f>
        <v>10.9</v>
      </c>
      <c r="C41" s="91" t="s">
        <v>757</v>
      </c>
      <c r="D41" s="419" t="s">
        <v>346</v>
      </c>
      <c r="E41" s="419"/>
      <c r="F41" s="419"/>
      <c r="G41" s="419"/>
      <c r="H41" s="419"/>
      <c r="I41" s="419"/>
      <c r="J41" s="91"/>
      <c r="K41" s="429"/>
      <c r="L41" s="91"/>
      <c r="M41" s="91"/>
      <c r="N41" s="91"/>
      <c r="O41" s="91"/>
      <c r="P41" s="91"/>
      <c r="Q41" s="91"/>
      <c r="R41" s="91"/>
    </row>
    <row r="42" spans="1:18" ht="13" outlineLevel="1" thickBot="1">
      <c r="A42" s="91"/>
      <c r="B42" s="454"/>
      <c r="C42" s="91"/>
      <c r="D42" s="419"/>
      <c r="E42" s="419"/>
      <c r="F42" s="419"/>
      <c r="G42" s="419"/>
      <c r="H42" s="419"/>
      <c r="I42" s="419"/>
      <c r="J42" s="91"/>
      <c r="K42" s="429"/>
      <c r="L42" s="91"/>
      <c r="M42" s="91"/>
      <c r="N42" s="91"/>
      <c r="O42" s="91"/>
      <c r="P42" s="91"/>
      <c r="Q42" s="91"/>
      <c r="R42" s="91"/>
    </row>
    <row r="43" spans="1:18" ht="13.5" outlineLevel="1" thickBot="1">
      <c r="A43" s="120" t="s">
        <v>780</v>
      </c>
      <c r="B43" s="40">
        <f>B30-B41</f>
        <v>9.575509637384334</v>
      </c>
      <c r="C43" s="91" t="s">
        <v>757</v>
      </c>
      <c r="D43" s="419"/>
      <c r="E43" s="419"/>
      <c r="F43" s="419"/>
      <c r="G43" s="419"/>
      <c r="H43" s="419"/>
      <c r="I43" s="419"/>
      <c r="J43" s="91"/>
      <c r="K43" s="429"/>
      <c r="L43" s="91"/>
      <c r="M43" s="91"/>
      <c r="N43" s="91"/>
      <c r="O43" s="91"/>
      <c r="P43" s="91"/>
      <c r="Q43" s="91"/>
      <c r="R43" s="91"/>
    </row>
    <row r="44" spans="1:18" ht="13" outlineLevel="1">
      <c r="A44" s="91"/>
      <c r="B44" s="91"/>
      <c r="C44" s="91"/>
      <c r="D44" s="419"/>
      <c r="E44" s="419"/>
      <c r="F44" s="419"/>
      <c r="G44" s="419"/>
      <c r="H44" s="419"/>
      <c r="I44" s="419"/>
      <c r="J44" s="91"/>
      <c r="K44" s="445"/>
      <c r="L44" s="91"/>
      <c r="M44" s="91"/>
      <c r="N44" s="91"/>
      <c r="O44" s="91"/>
      <c r="P44" s="91"/>
      <c r="Q44" s="91"/>
      <c r="R44" s="91"/>
    </row>
    <row r="45" spans="1:18" outlineLevel="1">
      <c r="A45" s="91"/>
      <c r="B45" s="91"/>
      <c r="C45" s="91"/>
      <c r="D45" s="419"/>
      <c r="E45" s="419"/>
      <c r="F45" s="419"/>
      <c r="G45" s="419"/>
      <c r="H45" s="419"/>
      <c r="I45" s="419"/>
      <c r="J45" s="91"/>
      <c r="K45" s="91"/>
      <c r="L45" s="91"/>
      <c r="M45" s="91"/>
      <c r="N45" s="91"/>
      <c r="O45" s="91"/>
      <c r="P45" s="91"/>
      <c r="Q45" s="91"/>
      <c r="R45" s="91"/>
    </row>
    <row r="46" spans="1:18" outlineLevel="1">
      <c r="A46" s="98"/>
      <c r="B46" s="98"/>
      <c r="C46" s="98"/>
      <c r="D46" s="141"/>
      <c r="E46" s="141"/>
      <c r="F46" s="141"/>
      <c r="G46" s="141"/>
      <c r="H46" s="141"/>
      <c r="I46" s="141"/>
      <c r="J46" s="98"/>
      <c r="K46" s="98"/>
      <c r="L46" s="98"/>
      <c r="M46" s="98"/>
      <c r="N46" s="98"/>
      <c r="O46" s="98"/>
      <c r="P46" s="98"/>
      <c r="Q46" s="98"/>
      <c r="R46" s="91"/>
    </row>
    <row r="47" spans="1:18" ht="13">
      <c r="A47" s="443" t="s">
        <v>817</v>
      </c>
      <c r="B47" s="42"/>
      <c r="C47" s="42"/>
      <c r="D47" s="42"/>
      <c r="E47" s="387" t="s">
        <v>411</v>
      </c>
      <c r="F47" s="47"/>
      <c r="G47" s="47"/>
      <c r="H47" s="47"/>
      <c r="I47" s="23"/>
      <c r="J47" s="23"/>
      <c r="K47" s="23"/>
      <c r="L47" s="23"/>
      <c r="M47" s="23"/>
      <c r="N47" s="23"/>
      <c r="O47" s="23"/>
      <c r="P47" s="23"/>
      <c r="Q47" s="23"/>
      <c r="R47" s="23"/>
    </row>
    <row r="48" spans="1:18" ht="13" outlineLevel="1">
      <c r="A48" s="36" t="s">
        <v>836</v>
      </c>
      <c r="B48" s="42"/>
      <c r="C48" s="42"/>
      <c r="D48" s="42"/>
      <c r="E48" s="46"/>
      <c r="F48" s="47"/>
      <c r="G48" s="47"/>
      <c r="H48" s="47"/>
      <c r="I48" s="23"/>
      <c r="J48" s="23"/>
      <c r="K48" s="23"/>
      <c r="L48" s="23"/>
      <c r="M48" s="23"/>
      <c r="N48" s="23"/>
      <c r="O48" s="23"/>
      <c r="P48" s="23"/>
      <c r="Q48" s="23"/>
      <c r="R48" s="23"/>
    </row>
    <row r="49" spans="1:18" outlineLevel="1">
      <c r="A49" s="91" t="s">
        <v>805</v>
      </c>
      <c r="B49" s="429">
        <f>'Antenna Pointing Losses'!K63</f>
        <v>0.3</v>
      </c>
      <c r="C49" s="91" t="s">
        <v>757</v>
      </c>
      <c r="D49" s="419" t="s">
        <v>873</v>
      </c>
      <c r="E49" s="419"/>
      <c r="F49" s="419"/>
      <c r="G49" s="419"/>
      <c r="H49" s="419"/>
      <c r="I49" s="419"/>
      <c r="J49" s="91"/>
      <c r="K49" s="91"/>
      <c r="L49" s="91"/>
      <c r="M49" s="91"/>
      <c r="N49" s="91"/>
      <c r="O49" s="91"/>
      <c r="P49" s="91"/>
      <c r="Q49" s="91"/>
      <c r="R49" s="91"/>
    </row>
    <row r="50" spans="1:18" outlineLevel="1">
      <c r="A50" s="91" t="s">
        <v>813</v>
      </c>
      <c r="B50" s="429">
        <f>INDEX('Antenna Gain'!H26:H32,'Antenna Gain'!E24,1)</f>
        <v>1.4</v>
      </c>
      <c r="C50" s="91" t="s">
        <v>36</v>
      </c>
      <c r="D50" s="419" t="s">
        <v>649</v>
      </c>
      <c r="E50" s="419"/>
      <c r="F50" s="419"/>
      <c r="G50" s="419"/>
      <c r="H50" s="419"/>
      <c r="I50" s="419"/>
      <c r="J50" s="91"/>
      <c r="K50" s="91"/>
      <c r="L50" s="91"/>
      <c r="M50" s="91"/>
      <c r="N50" s="91"/>
      <c r="O50" s="91"/>
      <c r="P50" s="91"/>
      <c r="Q50" s="91"/>
      <c r="R50" s="91"/>
    </row>
    <row r="51" spans="1:18" outlineLevel="1">
      <c r="A51" s="91" t="s">
        <v>277</v>
      </c>
      <c r="B51" s="429">
        <f>Receivers!J55</f>
        <v>1.4135599999999999</v>
      </c>
      <c r="C51" s="91" t="s">
        <v>757</v>
      </c>
      <c r="D51" s="419" t="s">
        <v>399</v>
      </c>
      <c r="E51" s="419"/>
      <c r="F51" s="419"/>
      <c r="G51" s="419"/>
      <c r="H51" s="419"/>
      <c r="I51" s="419"/>
      <c r="J51" s="91"/>
      <c r="K51" s="91"/>
      <c r="L51" s="91"/>
      <c r="M51" s="91"/>
      <c r="N51" s="91"/>
      <c r="O51" s="91"/>
      <c r="P51" s="91"/>
      <c r="Q51" s="91"/>
      <c r="R51" s="91"/>
    </row>
    <row r="52" spans="1:18" outlineLevel="1">
      <c r="A52" s="91" t="s">
        <v>814</v>
      </c>
      <c r="B52" s="432">
        <f>Receivers!J70</f>
        <v>214.63750846737568</v>
      </c>
      <c r="C52" s="91" t="s">
        <v>785</v>
      </c>
      <c r="D52" s="419" t="s">
        <v>398</v>
      </c>
      <c r="E52" s="419"/>
      <c r="F52" s="419"/>
      <c r="G52" s="419"/>
      <c r="H52" s="419"/>
      <c r="I52" s="419"/>
      <c r="J52" s="91"/>
      <c r="K52" s="91"/>
      <c r="L52" s="91"/>
      <c r="M52" s="91"/>
      <c r="N52" s="91"/>
      <c r="O52" s="91"/>
      <c r="P52" s="91"/>
      <c r="Q52" s="91"/>
      <c r="R52" s="91"/>
    </row>
    <row r="53" spans="1:18" outlineLevel="1">
      <c r="A53" s="91" t="s">
        <v>815</v>
      </c>
      <c r="B53" s="429">
        <f>B50-B51-10*LOG10(B52)</f>
        <v>-23.330616183614666</v>
      </c>
      <c r="C53" s="91" t="s">
        <v>786</v>
      </c>
      <c r="D53" s="419" t="s">
        <v>371</v>
      </c>
      <c r="E53" s="419"/>
      <c r="F53" s="419"/>
      <c r="G53" s="419"/>
      <c r="H53" s="419"/>
      <c r="I53" s="419"/>
      <c r="J53" s="91"/>
      <c r="K53" s="91"/>
      <c r="L53" s="91"/>
      <c r="M53" s="91"/>
      <c r="N53" s="91"/>
      <c r="O53" s="91"/>
      <c r="P53" s="91"/>
      <c r="Q53" s="91"/>
      <c r="R53" s="91"/>
    </row>
    <row r="54" spans="1:18" outlineLevel="1">
      <c r="A54" s="91"/>
      <c r="B54" s="429"/>
      <c r="C54" s="91"/>
      <c r="D54" s="419"/>
      <c r="E54" s="419"/>
      <c r="F54" s="419"/>
      <c r="G54" s="419"/>
      <c r="H54" s="419"/>
      <c r="I54" s="419"/>
      <c r="J54" s="91"/>
      <c r="K54" s="91"/>
      <c r="L54" s="91"/>
      <c r="M54" s="91"/>
      <c r="N54" s="91"/>
      <c r="O54" s="91"/>
      <c r="P54" s="91"/>
      <c r="Q54" s="91"/>
      <c r="R54" s="91"/>
    </row>
    <row r="55" spans="1:18" outlineLevel="1">
      <c r="A55" s="91" t="s">
        <v>818</v>
      </c>
      <c r="B55" s="347">
        <f>B19-B49+B50-B51</f>
        <v>-134.80743417900098</v>
      </c>
      <c r="C55" s="91" t="s">
        <v>782</v>
      </c>
      <c r="D55" s="419" t="s">
        <v>372</v>
      </c>
      <c r="E55" s="419"/>
      <c r="F55" s="419"/>
      <c r="G55" s="419"/>
      <c r="H55" s="419"/>
      <c r="I55" s="419"/>
      <c r="J55" s="91"/>
      <c r="K55" s="91"/>
      <c r="L55" s="91"/>
      <c r="M55" s="91"/>
      <c r="N55" s="91"/>
      <c r="O55" s="91"/>
      <c r="P55" s="91"/>
      <c r="Q55" s="91"/>
      <c r="R55" s="91"/>
    </row>
    <row r="56" spans="1:18" outlineLevel="1">
      <c r="A56" s="91"/>
      <c r="B56" s="301"/>
      <c r="C56" s="91"/>
      <c r="D56" s="419"/>
      <c r="E56" s="419"/>
      <c r="F56" s="419"/>
      <c r="G56" s="419"/>
      <c r="H56" s="419"/>
      <c r="I56" s="419"/>
      <c r="J56" s="91"/>
      <c r="K56" s="91"/>
      <c r="L56" s="91"/>
      <c r="M56" s="91"/>
      <c r="N56" s="91"/>
      <c r="O56" s="91"/>
      <c r="P56" s="91"/>
      <c r="Q56" s="91"/>
      <c r="R56" s="91"/>
    </row>
    <row r="57" spans="1:18" ht="13" outlineLevel="1">
      <c r="A57" s="91" t="s">
        <v>819</v>
      </c>
      <c r="B57" s="380">
        <v>150000</v>
      </c>
      <c r="C57" s="91" t="s">
        <v>797</v>
      </c>
      <c r="D57" s="419" t="s">
        <v>409</v>
      </c>
      <c r="E57" s="419"/>
      <c r="F57" s="419"/>
      <c r="G57" s="419"/>
      <c r="H57" s="387" t="s">
        <v>140</v>
      </c>
      <c r="I57" s="419"/>
      <c r="J57" s="91"/>
      <c r="K57" s="91"/>
      <c r="L57" s="91"/>
      <c r="M57" s="91"/>
      <c r="N57" s="91"/>
      <c r="O57" s="91"/>
      <c r="P57" s="91"/>
      <c r="Q57" s="91"/>
      <c r="R57" s="91"/>
    </row>
    <row r="58" spans="1:18" outlineLevel="1">
      <c r="A58" s="91"/>
      <c r="B58" s="441"/>
      <c r="C58" s="91"/>
      <c r="D58" s="419"/>
      <c r="E58" s="419"/>
      <c r="F58" s="419"/>
      <c r="G58" s="419"/>
      <c r="H58" s="419"/>
      <c r="I58" s="419"/>
      <c r="J58" s="91"/>
      <c r="K58" s="91"/>
      <c r="L58" s="91"/>
      <c r="M58" s="91"/>
      <c r="N58" s="91"/>
      <c r="O58" s="91"/>
      <c r="P58" s="91"/>
      <c r="Q58" s="91"/>
      <c r="R58" s="91"/>
    </row>
    <row r="59" spans="1:18" outlineLevel="1">
      <c r="A59" s="91" t="s">
        <v>410</v>
      </c>
      <c r="B59" s="347">
        <f>F27+10*LOG10(B52)+10*LOG10(B57)</f>
        <v>-153.52203122582853</v>
      </c>
      <c r="C59" s="91" t="s">
        <v>782</v>
      </c>
      <c r="D59" s="419" t="s">
        <v>412</v>
      </c>
      <c r="E59" s="419"/>
      <c r="F59" s="419"/>
      <c r="G59" s="419"/>
      <c r="H59" s="419"/>
      <c r="I59" s="419"/>
      <c r="J59" s="91"/>
      <c r="K59" s="91"/>
      <c r="L59" s="91"/>
      <c r="M59" s="91"/>
      <c r="N59" s="91"/>
      <c r="O59" s="91"/>
      <c r="P59" s="91"/>
      <c r="Q59" s="91"/>
      <c r="R59" s="91"/>
    </row>
    <row r="60" spans="1:18" outlineLevel="1">
      <c r="A60" s="91"/>
      <c r="B60" s="442"/>
      <c r="C60" s="91"/>
      <c r="D60" s="419"/>
      <c r="E60" s="419"/>
      <c r="F60" s="419"/>
      <c r="G60" s="419"/>
      <c r="H60" s="419"/>
      <c r="I60" s="419"/>
      <c r="J60" s="91"/>
      <c r="K60" s="91"/>
      <c r="L60" s="91"/>
      <c r="M60" s="91"/>
      <c r="N60" s="91"/>
      <c r="O60" s="91"/>
      <c r="P60" s="91"/>
      <c r="Q60" s="91"/>
      <c r="R60" s="91"/>
    </row>
    <row r="61" spans="1:18" outlineLevel="1">
      <c r="A61" s="91" t="s">
        <v>799</v>
      </c>
      <c r="B61" s="415">
        <f>B55-B59</f>
        <v>18.714597046827549</v>
      </c>
      <c r="C61" s="91" t="s">
        <v>757</v>
      </c>
      <c r="D61" s="419" t="s">
        <v>374</v>
      </c>
      <c r="E61" s="419"/>
      <c r="F61" s="419"/>
      <c r="G61" s="419"/>
      <c r="H61" s="419"/>
      <c r="I61" s="419"/>
      <c r="J61" s="91"/>
      <c r="K61" s="91"/>
      <c r="L61" s="91"/>
      <c r="M61" s="91"/>
      <c r="N61" s="91"/>
      <c r="O61" s="91"/>
      <c r="P61" s="91"/>
      <c r="Q61" s="91"/>
      <c r="R61" s="91"/>
    </row>
    <row r="62" spans="1:18" outlineLevel="1">
      <c r="A62" s="91"/>
      <c r="B62" s="301"/>
      <c r="C62" s="91"/>
      <c r="D62" s="419"/>
      <c r="E62" s="419"/>
      <c r="F62" s="419"/>
      <c r="G62" s="419"/>
      <c r="H62" s="419"/>
      <c r="I62" s="419"/>
      <c r="J62" s="91"/>
      <c r="K62" s="91"/>
      <c r="L62" s="91"/>
      <c r="M62" s="91"/>
      <c r="N62" s="91"/>
      <c r="O62" s="91"/>
      <c r="P62" s="91"/>
      <c r="Q62" s="91"/>
      <c r="R62" s="91"/>
    </row>
    <row r="63" spans="1:18" outlineLevel="1">
      <c r="A63" s="91" t="s">
        <v>348</v>
      </c>
      <c r="B63" s="417">
        <f>'Modulation-Demodulation Method'!H5</f>
        <v>10.9</v>
      </c>
      <c r="C63" s="91" t="s">
        <v>757</v>
      </c>
      <c r="D63" s="419" t="s">
        <v>375</v>
      </c>
      <c r="E63" s="419"/>
      <c r="F63" s="419"/>
      <c r="G63" s="419"/>
      <c r="H63" s="419"/>
      <c r="I63" s="419"/>
      <c r="J63" s="91"/>
      <c r="K63" s="91"/>
      <c r="L63" s="91"/>
      <c r="M63" s="91"/>
      <c r="N63" s="91"/>
      <c r="O63" s="91"/>
      <c r="P63" s="91"/>
      <c r="Q63" s="91"/>
      <c r="R63" s="91"/>
    </row>
    <row r="64" spans="1:18" ht="13" outlineLevel="1" thickBot="1">
      <c r="A64" s="91"/>
      <c r="B64" s="301"/>
      <c r="C64" s="91"/>
      <c r="D64" s="419"/>
      <c r="E64" s="419"/>
      <c r="F64" s="419"/>
      <c r="G64" s="419"/>
      <c r="H64" s="419"/>
      <c r="I64" s="419"/>
      <c r="J64" s="91"/>
      <c r="K64" s="91"/>
      <c r="L64" s="91"/>
      <c r="M64" s="91"/>
      <c r="N64" s="91"/>
      <c r="O64" s="91"/>
      <c r="P64" s="91"/>
      <c r="Q64" s="91"/>
      <c r="R64" s="91"/>
    </row>
    <row r="65" spans="1:18" ht="13.5" outlineLevel="1" thickBot="1">
      <c r="A65" s="91" t="s">
        <v>369</v>
      </c>
      <c r="B65" s="40">
        <f>B61-B63</f>
        <v>7.814597046827549</v>
      </c>
      <c r="C65" s="91" t="s">
        <v>757</v>
      </c>
      <c r="D65" s="419"/>
      <c r="E65" s="419"/>
      <c r="F65" s="419"/>
      <c r="G65" s="419"/>
      <c r="H65" s="419"/>
      <c r="I65" s="419"/>
      <c r="J65" s="91"/>
      <c r="K65" s="91"/>
      <c r="L65" s="91"/>
      <c r="M65" s="91"/>
      <c r="N65" s="91"/>
      <c r="O65" s="91"/>
      <c r="P65" s="91"/>
      <c r="Q65" s="91"/>
      <c r="R65" s="91"/>
    </row>
    <row r="66" spans="1:18" outlineLevel="1">
      <c r="A66" s="98"/>
      <c r="B66" s="98"/>
      <c r="C66" s="98"/>
      <c r="D66" s="419"/>
      <c r="E66" s="419"/>
      <c r="F66" s="419"/>
      <c r="G66" s="419"/>
      <c r="H66" s="419"/>
      <c r="I66" s="419"/>
      <c r="J66" s="91"/>
      <c r="K66" s="91"/>
      <c r="L66" s="91"/>
      <c r="M66" s="91"/>
      <c r="N66" s="91"/>
      <c r="O66" s="91"/>
      <c r="P66" s="91"/>
      <c r="Q66" s="91"/>
      <c r="R66" s="91"/>
    </row>
    <row r="67" spans="1:18" outlineLevel="1">
      <c r="A67" s="91"/>
      <c r="B67" s="91"/>
      <c r="C67" s="91"/>
      <c r="D67" s="419"/>
      <c r="E67" s="419"/>
      <c r="F67" s="419"/>
      <c r="G67" s="419"/>
      <c r="H67" s="419"/>
      <c r="I67" s="419"/>
      <c r="J67" s="91"/>
      <c r="K67" s="91"/>
      <c r="L67" s="91"/>
      <c r="M67" s="91"/>
      <c r="N67" s="91"/>
      <c r="O67" s="91"/>
      <c r="P67" s="91"/>
      <c r="Q67" s="91"/>
      <c r="R67" s="91"/>
    </row>
    <row r="68" spans="1:18" outlineLevel="1">
      <c r="A68" s="91"/>
      <c r="B68" s="91"/>
      <c r="C68" s="91"/>
      <c r="D68" s="419"/>
      <c r="E68" s="419"/>
      <c r="F68" s="419"/>
      <c r="G68" s="419"/>
      <c r="H68" s="419"/>
      <c r="I68" s="419"/>
      <c r="J68" s="91"/>
      <c r="K68" s="91"/>
      <c r="L68" s="91"/>
      <c r="M68" s="91"/>
      <c r="N68" s="91"/>
      <c r="O68" s="91"/>
      <c r="P68" s="91"/>
      <c r="Q68" s="91"/>
      <c r="R68" s="91"/>
    </row>
    <row r="69" spans="1:18">
      <c r="B69" s="38" t="s">
        <v>715</v>
      </c>
      <c r="C69" t="s">
        <v>715</v>
      </c>
    </row>
    <row r="70" spans="1:18">
      <c r="B70" s="38"/>
    </row>
  </sheetData>
  <phoneticPr fontId="0" type="noConversion"/>
  <pageMargins left="0.75" right="0.75" top="1" bottom="1" header="0.5" footer="0.5"/>
  <pageSetup paperSize="9" orientation="portrait" horizontalDpi="4294967293" r:id="rId1"/>
  <headerFooter alignWithMargins="0"/>
  <drawing r:id="rId2"/>
  <legacyDrawing r:id="rId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3">
    <tabColor indexed="11"/>
  </sheetPr>
  <dimension ref="A1:S92"/>
  <sheetViews>
    <sheetView zoomScale="120" zoomScaleNormal="120" workbookViewId="0">
      <selection activeCell="B2" sqref="B2"/>
    </sheetView>
  </sheetViews>
  <sheetFormatPr defaultColWidth="8.81640625" defaultRowHeight="12.5" outlineLevelRow="1" outlineLevelCol="1"/>
  <cols>
    <col min="1" max="1" width="40" customWidth="1"/>
    <col min="2" max="2" width="15.1796875" customWidth="1"/>
    <col min="3" max="3" width="12.453125" customWidth="1"/>
    <col min="4" max="4" width="25.453125" customWidth="1" outlineLevel="1"/>
    <col min="5" max="6" width="9.1796875" customWidth="1" outlineLevel="1"/>
    <col min="7" max="7" width="9.453125" customWidth="1" outlineLevel="1"/>
    <col min="8" max="8" width="9.1796875" customWidth="1" outlineLevel="1"/>
    <col min="9" max="9" width="14.453125" customWidth="1" outlineLevel="1"/>
    <col min="10" max="10" width="22.453125" customWidth="1" outlineLevel="1"/>
  </cols>
  <sheetData>
    <row r="1" spans="1:18" ht="18">
      <c r="A1" s="43" t="str">
        <f>'Title Page'!F3</f>
        <v>OreSat - CS0</v>
      </c>
      <c r="B1" s="685" t="s">
        <v>140</v>
      </c>
      <c r="C1" s="44" t="s">
        <v>715</v>
      </c>
      <c r="D1" s="617" t="str">
        <f>'Title Page'!F3</f>
        <v>OreSat - CS0</v>
      </c>
      <c r="E1" s="58" t="s">
        <v>715</v>
      </c>
      <c r="F1" s="58" t="str">
        <f>'Title Page'!D23</f>
        <v>Date Data Last Modified:</v>
      </c>
      <c r="G1" s="58"/>
      <c r="H1" s="44"/>
      <c r="I1" s="44"/>
      <c r="J1" s="44"/>
      <c r="K1" s="44"/>
      <c r="L1" s="44"/>
      <c r="M1" s="44"/>
      <c r="N1" s="44"/>
      <c r="O1" s="44"/>
      <c r="P1" s="44"/>
      <c r="Q1" s="44"/>
      <c r="R1" s="44"/>
    </row>
    <row r="2" spans="1:18" ht="20">
      <c r="A2" s="45" t="s">
        <v>762</v>
      </c>
      <c r="B2" s="44"/>
      <c r="C2" s="44"/>
      <c r="D2" s="58" t="str">
        <f>'Title Page'!G1</f>
        <v xml:space="preserve"> Version: 2.5.5</v>
      </c>
      <c r="E2" s="58"/>
      <c r="F2" s="59" t="str">
        <f>'Title Page'!F23</f>
        <v>2019 June 21</v>
      </c>
      <c r="G2" s="58"/>
      <c r="H2" s="44"/>
      <c r="I2" s="44"/>
      <c r="J2" s="44"/>
      <c r="K2" s="44"/>
      <c r="L2" s="44"/>
      <c r="M2" s="44"/>
      <c r="N2" s="44"/>
      <c r="O2" s="44"/>
      <c r="P2" s="44"/>
      <c r="Q2" s="44"/>
      <c r="R2" s="44"/>
    </row>
    <row r="3" spans="1:18" ht="13">
      <c r="A3" s="44"/>
      <c r="B3" s="44"/>
      <c r="C3" s="44"/>
      <c r="D3" s="58"/>
      <c r="E3" s="58"/>
      <c r="F3" s="58"/>
      <c r="G3" s="58"/>
      <c r="H3" s="44"/>
      <c r="I3" s="44"/>
      <c r="J3" s="44"/>
      <c r="K3" s="44"/>
      <c r="L3" s="44"/>
      <c r="M3" s="44"/>
      <c r="N3" s="44"/>
      <c r="O3" s="44"/>
      <c r="P3" s="44"/>
      <c r="Q3" s="44"/>
      <c r="R3" s="44"/>
    </row>
    <row r="4" spans="1:18" ht="13">
      <c r="A4" s="29" t="s">
        <v>716</v>
      </c>
      <c r="B4" s="29" t="s">
        <v>717</v>
      </c>
      <c r="C4" s="29" t="s">
        <v>763</v>
      </c>
      <c r="D4" s="29" t="s">
        <v>764</v>
      </c>
      <c r="E4" s="37"/>
      <c r="F4" s="37"/>
      <c r="G4" s="37"/>
      <c r="H4" s="37"/>
      <c r="I4" s="37"/>
      <c r="J4" s="37"/>
      <c r="K4" s="37"/>
      <c r="L4" s="37"/>
      <c r="M4" s="37"/>
      <c r="N4" s="37"/>
      <c r="O4" s="37"/>
      <c r="P4" s="37"/>
      <c r="Q4" s="37"/>
      <c r="R4" s="37"/>
    </row>
    <row r="5" spans="1:18" ht="13">
      <c r="A5" s="63" t="s">
        <v>765</v>
      </c>
      <c r="B5" s="23"/>
      <c r="C5" s="23"/>
      <c r="D5" s="23"/>
      <c r="E5" s="23"/>
      <c r="F5" s="23"/>
      <c r="G5" s="23"/>
      <c r="H5" s="23"/>
      <c r="I5" s="23"/>
      <c r="J5" s="23"/>
      <c r="K5" s="23"/>
      <c r="L5" s="23"/>
      <c r="M5" s="23"/>
      <c r="N5" s="23"/>
      <c r="O5" s="23"/>
      <c r="P5" s="23"/>
      <c r="Q5" s="23"/>
      <c r="R5" s="23"/>
    </row>
    <row r="6" spans="1:18">
      <c r="A6" s="91" t="s">
        <v>825</v>
      </c>
      <c r="B6" s="427">
        <f>Transmitters!E60</f>
        <v>1</v>
      </c>
      <c r="C6" s="91" t="s">
        <v>781</v>
      </c>
      <c r="D6" s="419" t="s">
        <v>384</v>
      </c>
      <c r="E6" s="419"/>
      <c r="F6" s="419"/>
      <c r="G6" s="419"/>
      <c r="H6" s="419"/>
      <c r="I6" s="419"/>
      <c r="J6" s="419"/>
      <c r="K6" s="91"/>
      <c r="L6" s="420" t="s">
        <v>380</v>
      </c>
      <c r="M6" s="411"/>
      <c r="N6" s="411"/>
      <c r="O6" s="411"/>
      <c r="P6" s="411"/>
      <c r="Q6" s="410"/>
      <c r="R6" s="91"/>
    </row>
    <row r="7" spans="1:18">
      <c r="A7" s="424" t="s">
        <v>787</v>
      </c>
      <c r="B7" s="132">
        <f>10*LOG10(B6)</f>
        <v>0</v>
      </c>
      <c r="C7" s="91" t="s">
        <v>782</v>
      </c>
      <c r="D7" s="419" t="s">
        <v>376</v>
      </c>
      <c r="E7" s="419"/>
      <c r="F7" s="419"/>
      <c r="G7" s="419"/>
      <c r="H7" s="419"/>
      <c r="I7" s="419"/>
      <c r="J7" s="419"/>
      <c r="K7" s="91"/>
      <c r="L7" s="91"/>
      <c r="M7" s="91"/>
      <c r="N7" s="91"/>
      <c r="O7" s="91"/>
      <c r="P7" s="91"/>
      <c r="Q7" s="91"/>
      <c r="R7" s="91"/>
    </row>
    <row r="8" spans="1:18">
      <c r="A8" s="424" t="s">
        <v>788</v>
      </c>
      <c r="B8" s="347">
        <f>B7+30</f>
        <v>30</v>
      </c>
      <c r="C8" s="91" t="s">
        <v>783</v>
      </c>
      <c r="D8" s="419" t="s">
        <v>377</v>
      </c>
      <c r="E8" s="419"/>
      <c r="F8" s="419"/>
      <c r="G8" s="419"/>
      <c r="H8" s="419"/>
      <c r="I8" s="419"/>
      <c r="J8" s="419"/>
      <c r="K8" s="91"/>
      <c r="L8" s="91"/>
      <c r="M8" s="91"/>
      <c r="N8" s="91"/>
      <c r="O8" s="91"/>
      <c r="P8" s="91"/>
      <c r="Q8" s="91"/>
      <c r="R8" s="91"/>
    </row>
    <row r="9" spans="1:18">
      <c r="A9" s="91" t="s">
        <v>277</v>
      </c>
      <c r="B9" s="428">
        <f>Transmitters!I85</f>
        <v>0.82356000000000007</v>
      </c>
      <c r="C9" s="91" t="s">
        <v>757</v>
      </c>
      <c r="D9" s="419" t="s">
        <v>386</v>
      </c>
      <c r="E9" s="419"/>
      <c r="F9" s="419"/>
      <c r="G9" s="419"/>
      <c r="H9" s="419"/>
      <c r="I9" s="419"/>
      <c r="J9" s="419"/>
      <c r="K9" s="91"/>
      <c r="L9" s="91"/>
      <c r="M9" s="91"/>
      <c r="N9" s="91"/>
      <c r="O9" s="91"/>
      <c r="P9" s="91"/>
      <c r="Q9" s="91"/>
      <c r="R9" s="91"/>
    </row>
    <row r="10" spans="1:18">
      <c r="A10" s="91" t="s">
        <v>813</v>
      </c>
      <c r="B10" s="427">
        <f>INDEX('Antenna Gain'!H43:H49,'Antenna Gain'!E41,1)</f>
        <v>1.4</v>
      </c>
      <c r="C10" s="91" t="s">
        <v>36</v>
      </c>
      <c r="D10" s="419" t="s">
        <v>652</v>
      </c>
      <c r="E10" s="419"/>
      <c r="F10" s="419"/>
      <c r="G10" s="419"/>
      <c r="H10" s="419"/>
      <c r="I10" s="419"/>
      <c r="J10" s="419"/>
      <c r="K10" s="91"/>
      <c r="L10" s="91"/>
      <c r="M10" s="91"/>
      <c r="N10" s="91"/>
      <c r="O10" s="91"/>
      <c r="P10" s="91"/>
      <c r="Q10" s="91"/>
      <c r="R10" s="91"/>
    </row>
    <row r="11" spans="1:18">
      <c r="A11" s="91" t="s">
        <v>767</v>
      </c>
      <c r="B11" s="132">
        <f>B7-B9+B10</f>
        <v>0.57643999999999984</v>
      </c>
      <c r="C11" s="91" t="s">
        <v>782</v>
      </c>
      <c r="D11" s="419" t="s">
        <v>800</v>
      </c>
      <c r="E11" s="419"/>
      <c r="F11" s="419"/>
      <c r="G11" s="419"/>
      <c r="H11" s="419"/>
      <c r="I11" s="419"/>
      <c r="J11" s="419"/>
      <c r="K11" s="91"/>
      <c r="L11" s="91"/>
      <c r="M11" s="91"/>
      <c r="N11" s="91"/>
      <c r="O11" s="91"/>
      <c r="P11" s="91"/>
      <c r="Q11" s="91"/>
      <c r="R11" s="91"/>
    </row>
    <row r="12" spans="1:18" ht="13">
      <c r="A12" s="63" t="s">
        <v>768</v>
      </c>
      <c r="B12" s="64"/>
      <c r="C12" s="23"/>
      <c r="D12" s="23"/>
      <c r="E12" s="23"/>
      <c r="F12" s="23"/>
      <c r="G12" s="23"/>
      <c r="H12" s="23"/>
      <c r="I12" s="23"/>
      <c r="J12" s="23"/>
      <c r="K12" s="23"/>
      <c r="L12" s="23"/>
      <c r="M12" s="23"/>
      <c r="N12" s="23"/>
      <c r="O12" s="23"/>
      <c r="P12" s="23"/>
      <c r="Q12" s="23"/>
      <c r="R12" s="23"/>
    </row>
    <row r="13" spans="1:18">
      <c r="A13" s="91" t="s">
        <v>805</v>
      </c>
      <c r="B13" s="428">
        <f>'Antenna Pointing Losses'!K85</f>
        <v>0.3</v>
      </c>
      <c r="C13" s="91" t="s">
        <v>757</v>
      </c>
      <c r="D13" s="419" t="s">
        <v>653</v>
      </c>
      <c r="E13" s="419"/>
      <c r="F13" s="419"/>
      <c r="G13" s="419"/>
      <c r="H13" s="419"/>
      <c r="I13" s="419"/>
      <c r="J13" s="419"/>
      <c r="K13" s="91"/>
      <c r="L13" s="91"/>
      <c r="M13" s="91"/>
      <c r="N13" s="91"/>
      <c r="O13" s="91"/>
      <c r="P13" s="91"/>
      <c r="Q13" s="91"/>
      <c r="R13" s="91"/>
    </row>
    <row r="14" spans="1:18">
      <c r="A14" s="91" t="s">
        <v>278</v>
      </c>
      <c r="B14" s="427">
        <f>'Antenna Polarization Loss'!F60</f>
        <v>5.7437907597720189E-2</v>
      </c>
      <c r="C14" s="91" t="s">
        <v>757</v>
      </c>
      <c r="D14" s="419" t="s">
        <v>381</v>
      </c>
      <c r="E14" s="419"/>
      <c r="F14" s="419"/>
      <c r="G14" s="419"/>
      <c r="H14" s="419"/>
      <c r="I14" s="419"/>
      <c r="J14" s="419"/>
      <c r="K14" s="91"/>
      <c r="L14" s="91"/>
      <c r="M14" s="91"/>
      <c r="N14" s="91"/>
      <c r="O14" s="91"/>
      <c r="P14" s="91"/>
      <c r="Q14" s="91"/>
      <c r="R14" s="91"/>
    </row>
    <row r="15" spans="1:18">
      <c r="A15" s="91" t="s">
        <v>756</v>
      </c>
      <c r="B15" s="429">
        <f>Frequency!M18</f>
        <v>148.5169324637277</v>
      </c>
      <c r="C15" s="91" t="s">
        <v>757</v>
      </c>
      <c r="D15" s="419" t="s">
        <v>357</v>
      </c>
      <c r="E15" s="419"/>
      <c r="F15" s="419"/>
      <c r="G15" s="419"/>
      <c r="H15" s="419"/>
      <c r="I15" s="419"/>
      <c r="J15" s="419"/>
      <c r="K15" s="91"/>
      <c r="L15" s="91"/>
      <c r="M15" s="91"/>
      <c r="N15" s="91"/>
      <c r="O15" s="91"/>
      <c r="P15" s="91"/>
      <c r="Q15" s="91"/>
      <c r="R15" s="91"/>
    </row>
    <row r="16" spans="1:18">
      <c r="A16" s="91" t="s">
        <v>811</v>
      </c>
      <c r="B16" s="430">
        <f>'Atmos. &amp; Ionos. Losses'!D23</f>
        <v>1.1000000000000001</v>
      </c>
      <c r="C16" s="91" t="s">
        <v>757</v>
      </c>
      <c r="D16" s="419" t="s">
        <v>279</v>
      </c>
      <c r="E16" s="419"/>
      <c r="F16" s="419"/>
      <c r="G16" s="419"/>
      <c r="H16" s="419"/>
      <c r="I16" s="419"/>
      <c r="J16" s="419"/>
      <c r="K16" s="91"/>
      <c r="L16" s="91"/>
      <c r="M16" s="91"/>
      <c r="N16" s="91"/>
      <c r="O16" s="91"/>
      <c r="P16" s="91"/>
      <c r="Q16" s="91"/>
      <c r="R16" s="91"/>
    </row>
    <row r="17" spans="1:19">
      <c r="A17" s="91" t="s">
        <v>812</v>
      </c>
      <c r="B17" s="428">
        <f>INDEX('Atmos. &amp; Ionos. Losses'!D45:D48,Frequency!L16,1)</f>
        <v>0.4</v>
      </c>
      <c r="C17" s="91" t="s">
        <v>757</v>
      </c>
      <c r="D17" s="419" t="s">
        <v>281</v>
      </c>
      <c r="E17" s="419"/>
      <c r="F17" s="419"/>
      <c r="G17" s="419"/>
      <c r="H17" s="419"/>
      <c r="I17" s="419"/>
      <c r="J17" s="419"/>
      <c r="K17" s="91"/>
      <c r="L17" s="91"/>
      <c r="M17" s="91"/>
      <c r="N17" s="91"/>
      <c r="O17" s="91"/>
      <c r="P17" s="91"/>
      <c r="Q17" s="91"/>
      <c r="R17" s="91"/>
    </row>
    <row r="18" spans="1:19">
      <c r="A18" s="91" t="s">
        <v>806</v>
      </c>
      <c r="B18" s="431">
        <v>0</v>
      </c>
      <c r="C18" s="91" t="s">
        <v>757</v>
      </c>
      <c r="D18" s="419" t="s">
        <v>289</v>
      </c>
      <c r="E18" s="419"/>
      <c r="F18" s="419"/>
      <c r="G18" s="419"/>
      <c r="H18" s="419"/>
      <c r="I18" s="419"/>
      <c r="J18" s="419" t="s">
        <v>715</v>
      </c>
      <c r="K18" s="91"/>
      <c r="L18" s="91"/>
      <c r="M18" s="91"/>
      <c r="N18" s="91"/>
      <c r="O18" s="91"/>
      <c r="P18" s="91"/>
      <c r="Q18" s="91"/>
      <c r="R18" s="91"/>
    </row>
    <row r="19" spans="1:19">
      <c r="A19" s="91" t="s">
        <v>772</v>
      </c>
      <c r="B19" s="415">
        <f>B11-SUM(B13:B18)</f>
        <v>-149.79793037132544</v>
      </c>
      <c r="C19" s="91" t="s">
        <v>782</v>
      </c>
      <c r="D19" s="419" t="s">
        <v>396</v>
      </c>
      <c r="E19" s="419"/>
      <c r="F19" s="419"/>
      <c r="G19" s="419"/>
      <c r="H19" s="419"/>
      <c r="I19" s="419"/>
      <c r="J19" s="419"/>
      <c r="K19" s="91"/>
      <c r="L19" s="91"/>
      <c r="M19" s="91"/>
      <c r="N19" s="91"/>
      <c r="O19" s="91"/>
      <c r="P19" s="91"/>
      <c r="Q19" s="91"/>
      <c r="R19" s="91"/>
    </row>
    <row r="20" spans="1:19" ht="13">
      <c r="A20" s="63" t="s">
        <v>379</v>
      </c>
      <c r="B20" s="23"/>
      <c r="C20" s="23"/>
      <c r="D20" s="23"/>
      <c r="E20" s="23"/>
      <c r="F20" s="23"/>
      <c r="G20" s="23"/>
      <c r="H20" s="23"/>
      <c r="I20" s="23"/>
      <c r="J20" s="36" t="s">
        <v>715</v>
      </c>
      <c r="K20" s="42"/>
      <c r="L20" s="42"/>
      <c r="M20" s="42"/>
      <c r="N20" s="42"/>
      <c r="O20" s="23"/>
      <c r="P20" s="23"/>
      <c r="Q20" s="23"/>
      <c r="R20" s="23"/>
      <c r="S20" s="135"/>
    </row>
    <row r="21" spans="1:19" ht="13" outlineLevel="1">
      <c r="A21" s="63" t="s">
        <v>835</v>
      </c>
      <c r="B21" s="23"/>
      <c r="C21" s="23"/>
      <c r="D21" s="23"/>
      <c r="E21" s="23"/>
      <c r="F21" s="23"/>
      <c r="G21" s="23"/>
      <c r="H21" s="23"/>
      <c r="I21" s="23"/>
      <c r="J21" s="36" t="s">
        <v>715</v>
      </c>
      <c r="K21" s="42"/>
      <c r="L21" s="42"/>
      <c r="M21" s="42"/>
      <c r="N21" s="42"/>
      <c r="O21" s="23"/>
      <c r="P21" s="23"/>
      <c r="Q21" s="23"/>
      <c r="R21" s="23"/>
      <c r="S21" s="135"/>
    </row>
    <row r="22" spans="1:19" outlineLevel="1">
      <c r="A22" s="426" t="s">
        <v>794</v>
      </c>
      <c r="B22" s="428">
        <f>'Antenna Pointing Losses'!K102</f>
        <v>0.31396976431536944</v>
      </c>
      <c r="C22" s="91" t="s">
        <v>757</v>
      </c>
      <c r="D22" s="419" t="s">
        <v>657</v>
      </c>
      <c r="E22" s="419"/>
      <c r="F22" s="419"/>
      <c r="G22" s="419"/>
      <c r="H22" s="419"/>
      <c r="I22" s="419"/>
      <c r="J22" s="419"/>
      <c r="K22" s="429"/>
      <c r="L22" s="91"/>
      <c r="M22" s="91"/>
      <c r="N22" s="91"/>
      <c r="O22" s="91"/>
      <c r="P22" s="91"/>
      <c r="Q22" s="91"/>
      <c r="R22" s="91"/>
    </row>
    <row r="23" spans="1:19" outlineLevel="1">
      <c r="A23" s="91" t="s">
        <v>774</v>
      </c>
      <c r="B23" s="427">
        <f>INDEX('Antenna Gain'!N60:N63,'Antenna Gain'!E58,1)</f>
        <v>15.5</v>
      </c>
      <c r="C23" s="91" t="s">
        <v>36</v>
      </c>
      <c r="D23" s="419" t="s">
        <v>658</v>
      </c>
      <c r="E23" s="419"/>
      <c r="F23" s="419"/>
      <c r="G23" s="419"/>
      <c r="H23" s="419"/>
      <c r="I23" s="419"/>
      <c r="J23" s="419"/>
      <c r="K23" s="429"/>
      <c r="L23" s="91"/>
      <c r="M23" s="91"/>
      <c r="N23" s="91"/>
      <c r="O23" s="91"/>
      <c r="P23" s="91"/>
      <c r="Q23" s="91"/>
      <c r="R23" s="91"/>
    </row>
    <row r="24" spans="1:19" outlineLevel="1">
      <c r="A24" s="91" t="s">
        <v>296</v>
      </c>
      <c r="B24" s="428">
        <f>Receivers!J126</f>
        <v>0.1759</v>
      </c>
      <c r="C24" s="91" t="s">
        <v>757</v>
      </c>
      <c r="D24" s="419" t="s">
        <v>297</v>
      </c>
      <c r="E24" s="419"/>
      <c r="F24" s="419"/>
      <c r="G24" s="419"/>
      <c r="H24" s="419"/>
      <c r="I24" s="419"/>
      <c r="J24" s="419"/>
      <c r="K24" s="91"/>
      <c r="L24" s="91"/>
      <c r="M24" s="91"/>
      <c r="N24" s="91"/>
      <c r="O24" s="91"/>
      <c r="P24" s="91"/>
      <c r="Q24" s="91"/>
      <c r="R24" s="91"/>
    </row>
    <row r="25" spans="1:19" outlineLevel="1">
      <c r="A25" s="91" t="s">
        <v>775</v>
      </c>
      <c r="B25" s="432">
        <f>Receivers!J149</f>
        <v>559.16806325412506</v>
      </c>
      <c r="C25" s="91" t="s">
        <v>785</v>
      </c>
      <c r="D25" s="419" t="s">
        <v>295</v>
      </c>
      <c r="E25" s="419"/>
      <c r="F25" s="419"/>
      <c r="G25" s="419"/>
      <c r="H25" s="419"/>
      <c r="I25" s="419"/>
      <c r="J25" s="419"/>
      <c r="K25" s="432"/>
      <c r="L25" s="91"/>
      <c r="M25" s="91"/>
      <c r="N25" s="91"/>
      <c r="O25" s="91"/>
      <c r="P25" s="91"/>
      <c r="Q25" s="91"/>
      <c r="R25" s="91"/>
    </row>
    <row r="26" spans="1:19" outlineLevel="1">
      <c r="A26" s="91" t="s">
        <v>776</v>
      </c>
      <c r="B26" s="429">
        <f>B23-B24-10*LOG10(B25)</f>
        <v>-12.15132358823846</v>
      </c>
      <c r="C26" s="91" t="s">
        <v>786</v>
      </c>
      <c r="D26" s="419" t="s">
        <v>370</v>
      </c>
      <c r="E26" s="419"/>
      <c r="F26" s="419"/>
      <c r="G26" s="419"/>
      <c r="H26" s="419"/>
      <c r="I26" s="419"/>
      <c r="J26" s="419"/>
      <c r="K26" s="429"/>
      <c r="L26" s="91"/>
      <c r="M26" s="91"/>
      <c r="N26" s="91"/>
      <c r="O26" s="91"/>
      <c r="P26" s="91"/>
      <c r="Q26" s="91"/>
      <c r="R26" s="91"/>
    </row>
    <row r="27" spans="1:19" outlineLevel="1">
      <c r="A27" s="91" t="s">
        <v>777</v>
      </c>
      <c r="B27" s="415">
        <f>B19-B22-F27+B26</f>
        <v>66.33677627612073</v>
      </c>
      <c r="C27" s="91" t="s">
        <v>791</v>
      </c>
      <c r="D27" s="437" t="s">
        <v>789</v>
      </c>
      <c r="E27" s="438"/>
      <c r="F27" s="438">
        <v>-228.6</v>
      </c>
      <c r="G27" s="439" t="s">
        <v>790</v>
      </c>
      <c r="H27" s="192"/>
      <c r="I27" s="419"/>
      <c r="J27" s="419"/>
      <c r="K27" s="301"/>
      <c r="L27" s="91"/>
      <c r="M27" s="91"/>
      <c r="N27" s="91"/>
      <c r="O27" s="91"/>
      <c r="P27" s="91"/>
      <c r="Q27" s="91"/>
      <c r="R27" s="91"/>
    </row>
    <row r="28" spans="1:19" outlineLevel="1">
      <c r="A28" s="91" t="s">
        <v>778</v>
      </c>
      <c r="B28" s="380">
        <v>50000</v>
      </c>
      <c r="C28" s="91" t="s">
        <v>792</v>
      </c>
      <c r="D28" s="419" t="s">
        <v>299</v>
      </c>
      <c r="E28" s="419"/>
      <c r="F28" s="419"/>
      <c r="G28" s="419"/>
      <c r="H28" s="419"/>
      <c r="I28" s="419"/>
      <c r="J28" s="419"/>
      <c r="K28" s="444"/>
      <c r="L28" s="91"/>
      <c r="M28" s="91"/>
      <c r="N28" s="91"/>
      <c r="O28" s="91"/>
      <c r="P28" s="91"/>
      <c r="Q28" s="91"/>
      <c r="R28" s="91"/>
    </row>
    <row r="29" spans="1:19" outlineLevel="1">
      <c r="A29" s="424" t="s">
        <v>793</v>
      </c>
      <c r="B29" s="440">
        <f>10*LOG10(B28)</f>
        <v>46.989700043360187</v>
      </c>
      <c r="C29" s="91" t="s">
        <v>791</v>
      </c>
      <c r="D29" s="419" t="s">
        <v>300</v>
      </c>
      <c r="E29" s="419"/>
      <c r="F29" s="419"/>
      <c r="G29" s="419"/>
      <c r="H29" s="419"/>
      <c r="I29" s="419"/>
      <c r="J29" s="419"/>
      <c r="K29" s="301"/>
      <c r="L29" s="91"/>
      <c r="M29" s="91"/>
      <c r="N29" s="91"/>
      <c r="O29" s="91"/>
      <c r="P29" s="91"/>
      <c r="Q29" s="91"/>
      <c r="R29" s="91"/>
    </row>
    <row r="30" spans="1:19" outlineLevel="1">
      <c r="A30" s="91" t="s">
        <v>298</v>
      </c>
      <c r="B30" s="415">
        <f>B27-B29</f>
        <v>19.347076232760543</v>
      </c>
      <c r="C30" s="91" t="s">
        <v>757</v>
      </c>
      <c r="D30" s="419" t="s">
        <v>715</v>
      </c>
      <c r="E30" s="419"/>
      <c r="F30" s="419"/>
      <c r="G30" s="419"/>
      <c r="H30" s="419"/>
      <c r="I30" s="419"/>
      <c r="J30" s="419"/>
      <c r="K30" s="301"/>
      <c r="L30" s="91"/>
      <c r="M30" s="91"/>
      <c r="N30" s="91"/>
      <c r="O30" s="91"/>
      <c r="P30" s="91"/>
      <c r="Q30" s="91"/>
      <c r="R30" s="91"/>
    </row>
    <row r="31" spans="1:19" outlineLevel="1">
      <c r="A31" s="91"/>
      <c r="B31" s="433"/>
      <c r="C31" s="91"/>
      <c r="D31" s="419"/>
      <c r="E31" s="419"/>
      <c r="F31" s="419"/>
      <c r="G31" s="419"/>
      <c r="H31" s="419"/>
      <c r="I31" s="419"/>
      <c r="J31" s="419"/>
      <c r="K31" s="301"/>
      <c r="L31" s="91"/>
      <c r="M31" s="91"/>
      <c r="N31" s="91"/>
      <c r="O31" s="91"/>
      <c r="P31" s="91"/>
      <c r="Q31" s="91"/>
      <c r="R31" s="91"/>
    </row>
    <row r="32" spans="1:19" outlineLevel="1">
      <c r="A32" s="91" t="s">
        <v>400</v>
      </c>
      <c r="B32" s="447" t="str">
        <f>INDEX('Modulation-Demodulation Method'!C34:C53,'Modulation-Demodulation Method'!E31,1)</f>
        <v>GMSK w/ BT=0.3</v>
      </c>
      <c r="C32" s="425" t="s">
        <v>715</v>
      </c>
      <c r="D32" s="450" t="s">
        <v>402</v>
      </c>
      <c r="E32" s="419"/>
      <c r="F32" s="419"/>
      <c r="G32" s="419"/>
      <c r="H32" s="419"/>
      <c r="I32" s="419"/>
      <c r="J32" s="302"/>
      <c r="K32" s="91"/>
      <c r="L32" s="91"/>
      <c r="M32" s="91"/>
      <c r="N32" s="91"/>
      <c r="O32" s="91"/>
      <c r="P32" s="91"/>
      <c r="Q32" s="91"/>
      <c r="R32" s="91"/>
    </row>
    <row r="33" spans="1:19" outlineLevel="1">
      <c r="A33" s="91" t="s">
        <v>397</v>
      </c>
      <c r="B33" s="449" t="str">
        <f>INDEX('Modulation-Demodulation Method'!D34:D53,'Modulation-Demodulation Method'!E31,1)</f>
        <v>None</v>
      </c>
      <c r="C33" s="448"/>
      <c r="D33" s="423" t="s">
        <v>401</v>
      </c>
      <c r="E33" s="421"/>
      <c r="F33" s="419"/>
      <c r="G33" s="419"/>
      <c r="H33" s="419"/>
      <c r="I33" s="419"/>
      <c r="J33" s="419"/>
      <c r="K33" s="301"/>
      <c r="L33" s="91"/>
      <c r="M33" s="91"/>
      <c r="N33" s="91"/>
      <c r="O33" s="91"/>
      <c r="P33" s="91"/>
      <c r="Q33" s="91"/>
      <c r="R33" s="91"/>
    </row>
    <row r="34" spans="1:19" outlineLevel="1">
      <c r="A34" s="91"/>
      <c r="B34" s="434"/>
      <c r="C34" s="425"/>
      <c r="D34" s="422"/>
      <c r="E34" s="421"/>
      <c r="F34" s="419"/>
      <c r="G34" s="419"/>
      <c r="H34" s="419"/>
      <c r="I34" s="419"/>
      <c r="J34" s="419"/>
      <c r="K34" s="301"/>
      <c r="L34" s="91"/>
      <c r="M34" s="91"/>
      <c r="N34" s="91"/>
      <c r="O34" s="91"/>
      <c r="P34" s="91"/>
      <c r="Q34" s="91"/>
      <c r="R34" s="91"/>
    </row>
    <row r="35" spans="1:19" outlineLevel="1">
      <c r="A35" s="91" t="s">
        <v>302</v>
      </c>
      <c r="B35" s="416">
        <f>INDEX('Modulation-Demodulation Method'!E34:E53,'Modulation-Demodulation Method'!E31,1)</f>
        <v>1.0000000000000001E-5</v>
      </c>
      <c r="C35" s="425"/>
      <c r="D35" s="423" t="s">
        <v>345</v>
      </c>
      <c r="E35" s="421"/>
      <c r="F35" s="419"/>
      <c r="G35" s="419"/>
      <c r="H35" s="419"/>
      <c r="I35" s="419"/>
      <c r="J35" s="419"/>
      <c r="K35" s="301"/>
      <c r="L35" s="91"/>
      <c r="M35" s="91"/>
      <c r="N35" s="91"/>
      <c r="O35" s="91"/>
      <c r="P35" s="91"/>
      <c r="Q35" s="91"/>
      <c r="R35" s="91"/>
    </row>
    <row r="36" spans="1:19" outlineLevel="1">
      <c r="A36" s="91"/>
      <c r="B36" s="434"/>
      <c r="C36" s="425"/>
      <c r="D36" s="422"/>
      <c r="E36" s="421"/>
      <c r="F36" s="419"/>
      <c r="G36" s="419"/>
      <c r="H36" s="419"/>
      <c r="I36" s="419"/>
      <c r="J36" s="419"/>
      <c r="K36" s="301"/>
      <c r="L36" s="91"/>
      <c r="M36" s="91"/>
      <c r="N36" s="91"/>
      <c r="O36" s="91"/>
      <c r="P36" s="91"/>
      <c r="Q36" s="91"/>
      <c r="R36" s="91"/>
    </row>
    <row r="37" spans="1:19" outlineLevel="1">
      <c r="A37" s="91" t="s">
        <v>333</v>
      </c>
      <c r="B37" s="435">
        <f>'Modulation-Demodulation Method'!E55</f>
        <v>0.5</v>
      </c>
      <c r="C37" s="91" t="s">
        <v>757</v>
      </c>
      <c r="D37" s="419" t="s">
        <v>406</v>
      </c>
      <c r="E37" s="419"/>
      <c r="F37" s="419"/>
      <c r="G37" s="419"/>
      <c r="H37" s="419"/>
      <c r="I37" s="419"/>
      <c r="J37" s="419"/>
      <c r="K37" s="91"/>
      <c r="L37" s="91"/>
      <c r="M37" s="91"/>
      <c r="N37" s="91"/>
      <c r="O37" s="91"/>
      <c r="P37" s="91"/>
      <c r="Q37" s="91"/>
      <c r="R37" s="91"/>
    </row>
    <row r="38" spans="1:19" outlineLevel="1">
      <c r="A38" s="91"/>
      <c r="B38" s="436"/>
      <c r="C38" s="91"/>
      <c r="D38" s="419"/>
      <c r="E38" s="419"/>
      <c r="F38" s="419"/>
      <c r="G38" s="419"/>
      <c r="H38" s="419"/>
      <c r="I38" s="419"/>
      <c r="J38" s="419"/>
      <c r="K38" s="91"/>
      <c r="L38" s="91"/>
      <c r="M38" s="91"/>
      <c r="N38" s="91"/>
      <c r="O38" s="91"/>
      <c r="P38" s="91"/>
      <c r="Q38" s="91"/>
      <c r="R38" s="91"/>
    </row>
    <row r="39" spans="1:19" outlineLevel="1">
      <c r="A39" s="91" t="s">
        <v>779</v>
      </c>
      <c r="B39" s="454">
        <f>INDEX('Modulation-Demodulation Method'!F34:F53,'Modulation-Demodulation Method'!E31,1)</f>
        <v>10.4</v>
      </c>
      <c r="C39" s="91" t="s">
        <v>757</v>
      </c>
      <c r="D39" s="419" t="s">
        <v>301</v>
      </c>
      <c r="E39" s="419"/>
      <c r="F39" s="419"/>
      <c r="G39" s="419"/>
      <c r="H39" s="419"/>
      <c r="I39" s="419"/>
      <c r="J39" s="419"/>
      <c r="K39" s="429"/>
      <c r="L39" s="91"/>
      <c r="M39" s="91"/>
      <c r="N39" s="91"/>
      <c r="O39" s="91"/>
      <c r="P39" s="91"/>
      <c r="Q39" s="91"/>
      <c r="R39" s="91"/>
    </row>
    <row r="40" spans="1:19" outlineLevel="1">
      <c r="A40" s="91"/>
      <c r="B40" s="430"/>
      <c r="C40" s="91"/>
      <c r="D40" s="419"/>
      <c r="E40" s="419"/>
      <c r="F40" s="419"/>
      <c r="G40" s="419"/>
      <c r="H40" s="419"/>
      <c r="I40" s="419"/>
      <c r="J40" s="419"/>
      <c r="K40" s="429"/>
      <c r="L40" s="91"/>
      <c r="M40" s="91"/>
      <c r="N40" s="91"/>
      <c r="O40" s="91"/>
      <c r="P40" s="91"/>
      <c r="Q40" s="91"/>
      <c r="R40" s="91"/>
    </row>
    <row r="41" spans="1:19" outlineLevel="1">
      <c r="A41" s="91" t="s">
        <v>334</v>
      </c>
      <c r="B41" s="417">
        <f>'Modulation-Demodulation Method'!H33</f>
        <v>10.9</v>
      </c>
      <c r="C41" s="91" t="s">
        <v>757</v>
      </c>
      <c r="D41" s="419" t="s">
        <v>346</v>
      </c>
      <c r="E41" s="419"/>
      <c r="F41" s="419"/>
      <c r="G41" s="419"/>
      <c r="H41" s="419"/>
      <c r="I41" s="419"/>
      <c r="J41" s="419"/>
      <c r="K41" s="429"/>
      <c r="L41" s="91"/>
      <c r="M41" s="91"/>
      <c r="N41" s="91"/>
      <c r="O41" s="91"/>
      <c r="P41" s="91"/>
      <c r="Q41" s="91"/>
      <c r="R41" s="91"/>
    </row>
    <row r="42" spans="1:19" ht="13" outlineLevel="1" thickBot="1">
      <c r="A42" s="91"/>
      <c r="B42" s="430"/>
      <c r="C42" s="91"/>
      <c r="D42" s="419"/>
      <c r="E42" s="419"/>
      <c r="F42" s="419"/>
      <c r="G42" s="419"/>
      <c r="H42" s="419"/>
      <c r="I42" s="419"/>
      <c r="J42" s="419"/>
      <c r="K42" s="429"/>
      <c r="L42" s="91"/>
      <c r="M42" s="91"/>
      <c r="N42" s="91"/>
      <c r="O42" s="91"/>
      <c r="P42" s="91"/>
      <c r="Q42" s="91"/>
      <c r="R42" s="91"/>
    </row>
    <row r="43" spans="1:19" ht="13.5" outlineLevel="1" thickBot="1">
      <c r="A43" s="120" t="s">
        <v>780</v>
      </c>
      <c r="B43" s="40">
        <f>B30-B41</f>
        <v>8.4470762327605424</v>
      </c>
      <c r="C43" s="91" t="s">
        <v>757</v>
      </c>
      <c r="D43" s="419"/>
      <c r="E43" s="419"/>
      <c r="F43" s="419"/>
      <c r="G43" s="419"/>
      <c r="H43" s="419"/>
      <c r="I43" s="419"/>
      <c r="J43" s="419"/>
      <c r="K43" s="91"/>
      <c r="L43" s="91"/>
      <c r="M43" s="91"/>
      <c r="N43" s="91"/>
      <c r="O43" s="91"/>
      <c r="P43" s="91"/>
      <c r="Q43" s="91"/>
      <c r="R43" s="91"/>
    </row>
    <row r="44" spans="1:19" ht="13" outlineLevel="1">
      <c r="A44" s="91"/>
      <c r="B44" s="91"/>
      <c r="C44" s="91"/>
      <c r="D44" s="419"/>
      <c r="E44" s="419"/>
      <c r="F44" s="419"/>
      <c r="G44" s="419"/>
      <c r="H44" s="419"/>
      <c r="I44" s="419"/>
      <c r="J44" s="419"/>
      <c r="K44" s="445"/>
      <c r="L44" s="91"/>
      <c r="M44" s="91"/>
      <c r="N44" s="91"/>
      <c r="O44" s="91"/>
      <c r="P44" s="91"/>
      <c r="Q44" s="91"/>
      <c r="R44" s="91"/>
    </row>
    <row r="45" spans="1:19" outlineLevel="1">
      <c r="A45" s="98"/>
      <c r="B45" s="98"/>
      <c r="C45" s="98"/>
      <c r="D45" s="141" t="s">
        <v>715</v>
      </c>
      <c r="E45" s="141"/>
      <c r="F45" s="141"/>
      <c r="G45" s="141"/>
      <c r="H45" s="141"/>
      <c r="I45" s="141"/>
      <c r="J45" s="141"/>
      <c r="K45" s="98"/>
      <c r="L45" s="98"/>
      <c r="M45" s="98"/>
      <c r="N45" s="98"/>
      <c r="O45" s="98"/>
      <c r="P45" s="98"/>
      <c r="Q45" s="98"/>
      <c r="R45" s="98"/>
      <c r="S45" s="418"/>
    </row>
    <row r="46" spans="1:19" ht="13">
      <c r="A46" s="443" t="s">
        <v>795</v>
      </c>
      <c r="B46" s="42"/>
      <c r="C46" s="42"/>
      <c r="D46" s="42"/>
      <c r="E46" s="42"/>
      <c r="F46" s="23"/>
      <c r="G46" s="23"/>
      <c r="H46" s="23"/>
      <c r="I46" s="23"/>
      <c r="J46" s="23"/>
      <c r="K46" s="23"/>
      <c r="L46" s="23"/>
      <c r="M46" s="23"/>
      <c r="N46" s="23"/>
      <c r="O46" s="23"/>
      <c r="P46" s="23"/>
      <c r="Q46" s="23"/>
      <c r="R46" s="23"/>
    </row>
    <row r="47" spans="1:19" ht="13" outlineLevel="1">
      <c r="A47" s="36" t="s">
        <v>836</v>
      </c>
      <c r="B47" s="42"/>
      <c r="C47" s="42"/>
      <c r="D47" s="42"/>
      <c r="E47" s="42"/>
      <c r="F47" s="23"/>
      <c r="G47" s="23"/>
      <c r="H47" s="23"/>
      <c r="I47" s="23"/>
      <c r="J47" s="23"/>
      <c r="K47" s="23"/>
      <c r="L47" s="23"/>
      <c r="M47" s="23"/>
      <c r="N47" s="23"/>
      <c r="O47" s="23"/>
      <c r="P47" s="23"/>
      <c r="Q47" s="23"/>
      <c r="R47" s="23"/>
    </row>
    <row r="48" spans="1:19" outlineLevel="1">
      <c r="A48" s="91" t="s">
        <v>794</v>
      </c>
      <c r="B48" s="429">
        <f>'Antenna Pointing Losses'!K102</f>
        <v>0.31396976431536944</v>
      </c>
      <c r="C48" s="91" t="s">
        <v>757</v>
      </c>
      <c r="D48" s="419" t="s">
        <v>657</v>
      </c>
      <c r="E48" s="419"/>
      <c r="F48" s="419"/>
      <c r="G48" s="419"/>
      <c r="H48" s="419"/>
      <c r="I48" s="419"/>
      <c r="J48" s="419"/>
      <c r="K48" s="91"/>
      <c r="L48" s="91"/>
      <c r="M48" s="91"/>
      <c r="N48" s="91"/>
      <c r="O48" s="91"/>
      <c r="P48" s="91"/>
      <c r="Q48" s="91"/>
      <c r="R48" s="91"/>
    </row>
    <row r="49" spans="1:18" outlineLevel="1">
      <c r="A49" s="91" t="s">
        <v>774</v>
      </c>
      <c r="B49" s="429">
        <f>INDEX('Antenna Gain'!N60:N63,'Antenna Gain'!E58,1)</f>
        <v>15.5</v>
      </c>
      <c r="C49" s="91" t="s">
        <v>36</v>
      </c>
      <c r="D49" s="419" t="s">
        <v>658</v>
      </c>
      <c r="E49" s="419"/>
      <c r="F49" s="419"/>
      <c r="G49" s="419"/>
      <c r="H49" s="419"/>
      <c r="I49" s="419"/>
      <c r="J49" s="419"/>
      <c r="K49" s="91"/>
      <c r="L49" s="91"/>
      <c r="M49" s="91"/>
      <c r="N49" s="91"/>
      <c r="O49" s="91"/>
      <c r="P49" s="91"/>
      <c r="Q49" s="91"/>
      <c r="R49" s="91"/>
    </row>
    <row r="50" spans="1:18" outlineLevel="1">
      <c r="A50" s="91" t="s">
        <v>296</v>
      </c>
      <c r="B50" s="429">
        <f>Receivers!J126</f>
        <v>0.1759</v>
      </c>
      <c r="C50" s="91" t="s">
        <v>757</v>
      </c>
      <c r="D50" s="419" t="s">
        <v>297</v>
      </c>
      <c r="E50" s="419"/>
      <c r="F50" s="419"/>
      <c r="G50" s="419"/>
      <c r="H50" s="419"/>
      <c r="I50" s="419"/>
      <c r="J50" s="419"/>
      <c r="K50" s="91"/>
      <c r="L50" s="91"/>
      <c r="M50" s="91"/>
      <c r="N50" s="91"/>
      <c r="O50" s="91"/>
      <c r="P50" s="91"/>
      <c r="Q50" s="91"/>
      <c r="R50" s="91"/>
    </row>
    <row r="51" spans="1:18" outlineLevel="1">
      <c r="A51" s="91" t="s">
        <v>775</v>
      </c>
      <c r="B51" s="432">
        <f>Receivers!J149</f>
        <v>559.16806325412506</v>
      </c>
      <c r="C51" s="91" t="s">
        <v>785</v>
      </c>
      <c r="D51" s="419" t="s">
        <v>295</v>
      </c>
      <c r="E51" s="419"/>
      <c r="F51" s="419"/>
      <c r="G51" s="419"/>
      <c r="H51" s="419"/>
      <c r="I51" s="419"/>
      <c r="J51" s="419"/>
      <c r="K51" s="91"/>
      <c r="L51" s="91"/>
      <c r="M51" s="91"/>
      <c r="N51" s="91"/>
      <c r="O51" s="91"/>
      <c r="P51" s="91"/>
      <c r="Q51" s="91"/>
      <c r="R51" s="91"/>
    </row>
    <row r="52" spans="1:18" outlineLevel="1">
      <c r="A52" s="91" t="s">
        <v>776</v>
      </c>
      <c r="B52" s="429">
        <f>B49-B50-10*LOG10(B51)</f>
        <v>-12.15132358823846</v>
      </c>
      <c r="C52" s="91" t="s">
        <v>786</v>
      </c>
      <c r="D52" s="419" t="s">
        <v>371</v>
      </c>
      <c r="E52" s="419"/>
      <c r="F52" s="419"/>
      <c r="G52" s="419"/>
      <c r="H52" s="419"/>
      <c r="I52" s="419"/>
      <c r="J52" s="419"/>
      <c r="K52" s="91"/>
      <c r="L52" s="91"/>
      <c r="M52" s="91"/>
      <c r="N52" s="91"/>
      <c r="O52" s="91"/>
      <c r="P52" s="91"/>
      <c r="Q52" s="91"/>
      <c r="R52" s="91"/>
    </row>
    <row r="53" spans="1:18" outlineLevel="1">
      <c r="A53" s="91"/>
      <c r="B53" s="429"/>
      <c r="C53" s="91"/>
      <c r="D53" s="419"/>
      <c r="E53" s="419"/>
      <c r="F53" s="419"/>
      <c r="G53" s="419"/>
      <c r="H53" s="419"/>
      <c r="I53" s="419"/>
      <c r="J53" s="419"/>
      <c r="K53" s="91"/>
      <c r="L53" s="91"/>
      <c r="M53" s="91"/>
      <c r="N53" s="91"/>
      <c r="O53" s="91"/>
      <c r="P53" s="91"/>
      <c r="Q53" s="91"/>
      <c r="R53" s="91"/>
    </row>
    <row r="54" spans="1:18" outlineLevel="1">
      <c r="A54" s="91" t="s">
        <v>796</v>
      </c>
      <c r="B54" s="347">
        <f>B19+B49-B48-B50</f>
        <v>-134.78780013564082</v>
      </c>
      <c r="C54" s="91" t="s">
        <v>782</v>
      </c>
      <c r="D54" s="419" t="s">
        <v>372</v>
      </c>
      <c r="E54" s="419"/>
      <c r="F54" s="419"/>
      <c r="G54" s="419"/>
      <c r="H54" s="419"/>
      <c r="I54" s="419"/>
      <c r="J54" s="419"/>
      <c r="K54" s="91"/>
      <c r="L54" s="91"/>
      <c r="M54" s="91"/>
      <c r="N54" s="91"/>
      <c r="O54" s="91"/>
      <c r="P54" s="91"/>
      <c r="Q54" s="91"/>
      <c r="R54" s="91"/>
    </row>
    <row r="55" spans="1:18" outlineLevel="1">
      <c r="A55" s="91"/>
      <c r="B55" s="442"/>
      <c r="C55" s="91"/>
      <c r="D55" s="419"/>
      <c r="E55" s="419"/>
      <c r="F55" s="419"/>
      <c r="G55" s="419"/>
      <c r="H55" s="419"/>
      <c r="I55" s="419"/>
      <c r="J55" s="419"/>
      <c r="K55" s="91"/>
      <c r="L55" s="91"/>
      <c r="M55" s="91"/>
      <c r="N55" s="91"/>
      <c r="O55" s="91"/>
      <c r="P55" s="91"/>
      <c r="Q55" s="91"/>
      <c r="R55" s="91"/>
    </row>
    <row r="56" spans="1:18" ht="13" outlineLevel="1">
      <c r="A56" s="91" t="s">
        <v>373</v>
      </c>
      <c r="B56" s="380">
        <v>75000</v>
      </c>
      <c r="C56" s="91" t="s">
        <v>797</v>
      </c>
      <c r="D56" s="419" t="s">
        <v>347</v>
      </c>
      <c r="E56" s="419"/>
      <c r="F56" s="419"/>
      <c r="G56" s="419"/>
      <c r="H56" s="387" t="s">
        <v>140</v>
      </c>
      <c r="I56" s="419"/>
      <c r="J56" s="419"/>
      <c r="K56" s="91"/>
      <c r="L56" s="91"/>
      <c r="M56" s="91"/>
      <c r="N56" s="91"/>
      <c r="O56" s="91"/>
      <c r="P56" s="91"/>
      <c r="Q56" s="91"/>
      <c r="R56" s="91"/>
    </row>
    <row r="57" spans="1:18" outlineLevel="1">
      <c r="A57" s="91"/>
      <c r="B57" s="441"/>
      <c r="C57" s="91"/>
      <c r="D57" s="419"/>
      <c r="E57" s="419"/>
      <c r="F57" s="419"/>
      <c r="G57" s="419"/>
      <c r="H57" s="419"/>
      <c r="I57" s="419"/>
      <c r="J57" s="419"/>
      <c r="K57" s="91"/>
      <c r="L57" s="91"/>
      <c r="M57" s="91"/>
      <c r="N57" s="91"/>
      <c r="O57" s="91"/>
      <c r="P57" s="91"/>
      <c r="Q57" s="91"/>
      <c r="R57" s="91"/>
    </row>
    <row r="58" spans="1:18" outlineLevel="1">
      <c r="A58" s="91" t="s">
        <v>798</v>
      </c>
      <c r="B58" s="347">
        <f>F27+10*LOG10(B51)+10*LOG10(B56)</f>
        <v>-152.37396377784452</v>
      </c>
      <c r="C58" s="91" t="s">
        <v>782</v>
      </c>
      <c r="D58" s="419" t="s">
        <v>412</v>
      </c>
      <c r="E58" s="419"/>
      <c r="F58" s="419"/>
      <c r="G58" s="419"/>
      <c r="H58" s="419"/>
      <c r="I58" s="419"/>
      <c r="J58" s="419"/>
      <c r="K58" s="91"/>
      <c r="L58" s="91"/>
      <c r="M58" s="91"/>
      <c r="N58" s="91"/>
      <c r="O58" s="91"/>
      <c r="P58" s="91"/>
      <c r="Q58" s="91"/>
      <c r="R58" s="91"/>
    </row>
    <row r="59" spans="1:18" outlineLevel="1">
      <c r="A59" s="91"/>
      <c r="B59" s="442"/>
      <c r="C59" s="91"/>
      <c r="D59" s="419"/>
      <c r="E59" s="419"/>
      <c r="F59" s="419"/>
      <c r="G59" s="419"/>
      <c r="H59" s="419"/>
      <c r="I59" s="419"/>
      <c r="J59" s="419"/>
      <c r="K59" s="91"/>
      <c r="L59" s="91"/>
      <c r="M59" s="91"/>
      <c r="N59" s="91"/>
      <c r="O59" s="91"/>
      <c r="P59" s="91"/>
      <c r="Q59" s="91"/>
      <c r="R59" s="91"/>
    </row>
    <row r="60" spans="1:18" outlineLevel="1">
      <c r="A60" s="91" t="s">
        <v>799</v>
      </c>
      <c r="B60" s="415">
        <f>B54-B58</f>
        <v>17.586163642203701</v>
      </c>
      <c r="C60" s="91" t="s">
        <v>757</v>
      </c>
      <c r="D60" s="419" t="s">
        <v>374</v>
      </c>
      <c r="E60" s="419"/>
      <c r="F60" s="419"/>
      <c r="G60" s="419"/>
      <c r="H60" s="419"/>
      <c r="I60" s="419"/>
      <c r="J60" s="419"/>
      <c r="K60" s="91"/>
      <c r="L60" s="91"/>
      <c r="M60" s="91"/>
      <c r="N60" s="91"/>
      <c r="O60" s="91"/>
      <c r="P60" s="91"/>
      <c r="Q60" s="91"/>
      <c r="R60" s="91"/>
    </row>
    <row r="61" spans="1:18" outlineLevel="1">
      <c r="A61" s="91"/>
      <c r="B61" s="301"/>
      <c r="C61" s="91"/>
      <c r="D61" s="419"/>
      <c r="E61" s="419"/>
      <c r="F61" s="419"/>
      <c r="G61" s="419"/>
      <c r="H61" s="419"/>
      <c r="I61" s="419"/>
      <c r="J61" s="419"/>
      <c r="K61" s="91"/>
      <c r="L61" s="91"/>
      <c r="M61" s="91"/>
      <c r="N61" s="91"/>
      <c r="O61" s="91"/>
      <c r="P61" s="91"/>
      <c r="Q61" s="91"/>
      <c r="R61" s="91"/>
    </row>
    <row r="62" spans="1:18" outlineLevel="1">
      <c r="A62" s="91" t="s">
        <v>348</v>
      </c>
      <c r="B62" s="417">
        <f>'Modulation-Demodulation Method'!H33</f>
        <v>10.9</v>
      </c>
      <c r="C62" s="91" t="s">
        <v>757</v>
      </c>
      <c r="D62" s="419" t="s">
        <v>375</v>
      </c>
      <c r="E62" s="419"/>
      <c r="F62" s="419"/>
      <c r="G62" s="419"/>
      <c r="H62" s="419"/>
      <c r="I62" s="419"/>
      <c r="J62" s="419"/>
      <c r="K62" s="91"/>
      <c r="L62" s="91"/>
      <c r="M62" s="91"/>
      <c r="N62" s="91"/>
      <c r="O62" s="91"/>
      <c r="P62" s="91"/>
      <c r="Q62" s="91"/>
      <c r="R62" s="91"/>
    </row>
    <row r="63" spans="1:18" ht="13" outlineLevel="1" thickBot="1">
      <c r="A63" s="91"/>
      <c r="B63" s="301"/>
      <c r="C63" s="91"/>
      <c r="D63" s="419"/>
      <c r="E63" s="419"/>
      <c r="F63" s="419"/>
      <c r="G63" s="419"/>
      <c r="H63" s="419"/>
      <c r="I63" s="419"/>
      <c r="J63" s="419"/>
      <c r="K63" s="91"/>
      <c r="L63" s="91"/>
      <c r="M63" s="91"/>
      <c r="N63" s="91"/>
      <c r="O63" s="91"/>
      <c r="P63" s="91"/>
      <c r="Q63" s="91"/>
      <c r="R63" s="91"/>
    </row>
    <row r="64" spans="1:18" ht="13.5" outlineLevel="1" thickBot="1">
      <c r="A64" s="91" t="s">
        <v>369</v>
      </c>
      <c r="B64" s="40">
        <f>B60-B62</f>
        <v>6.6861636422037005</v>
      </c>
      <c r="C64" s="91" t="s">
        <v>757</v>
      </c>
      <c r="D64" s="419"/>
      <c r="E64" s="419"/>
      <c r="F64" s="419"/>
      <c r="G64" s="419"/>
      <c r="H64" s="419"/>
      <c r="I64" s="419"/>
      <c r="J64" s="419"/>
      <c r="K64" s="91"/>
      <c r="L64" s="91"/>
      <c r="M64" s="91"/>
      <c r="N64" s="91"/>
      <c r="O64" s="91"/>
      <c r="P64" s="91"/>
      <c r="Q64" s="91"/>
      <c r="R64" s="91"/>
    </row>
    <row r="65" spans="1:18" outlineLevel="1">
      <c r="A65" s="98"/>
      <c r="B65" s="98"/>
      <c r="C65" s="98"/>
      <c r="D65" s="419"/>
      <c r="E65" s="419"/>
      <c r="F65" s="419"/>
      <c r="G65" s="419"/>
      <c r="H65" s="419"/>
      <c r="I65" s="419"/>
      <c r="J65" s="419"/>
      <c r="K65" s="91"/>
      <c r="L65" s="91"/>
      <c r="M65" s="91"/>
      <c r="N65" s="91"/>
      <c r="O65" s="91"/>
      <c r="P65" s="91"/>
      <c r="Q65" s="91"/>
      <c r="R65" s="91"/>
    </row>
    <row r="66" spans="1:18" outlineLevel="1">
      <c r="A66" s="91"/>
      <c r="B66" s="91"/>
      <c r="C66" s="91"/>
      <c r="D66" s="419"/>
      <c r="E66" s="419"/>
      <c r="F66" s="419"/>
      <c r="G66" s="419"/>
      <c r="H66" s="419"/>
      <c r="I66" s="419"/>
      <c r="J66" s="419"/>
      <c r="K66" s="91"/>
      <c r="L66" s="91"/>
      <c r="M66" s="91"/>
      <c r="N66" s="91"/>
      <c r="O66" s="91"/>
      <c r="P66" s="91"/>
      <c r="Q66" s="91"/>
      <c r="R66" s="91"/>
    </row>
    <row r="67" spans="1:18">
      <c r="D67" t="s">
        <v>715</v>
      </c>
    </row>
    <row r="69" spans="1:18">
      <c r="D69" s="418"/>
      <c r="E69" s="418"/>
      <c r="F69" s="418"/>
    </row>
    <row r="78" spans="1:18">
      <c r="G78" s="418"/>
      <c r="H78" s="418"/>
      <c r="I78" s="418"/>
    </row>
    <row r="92" spans="2:2">
      <c r="B92" t="s">
        <v>715</v>
      </c>
    </row>
  </sheetData>
  <phoneticPr fontId="0" type="noConversion"/>
  <pageMargins left="0.75" right="0.75" top="1" bottom="1" header="0.5" footer="0.5"/>
  <pageSetup orientation="portrait"/>
  <headerFooter alignWithMargins="0"/>
  <drawing r:id="rId1"/>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C3FCEA-CA5E-4E01-878C-D602328AA331}">
  <sheetPr>
    <tabColor indexed="12"/>
    <pageSetUpPr fitToPage="1"/>
  </sheetPr>
  <dimension ref="A1:Q115"/>
  <sheetViews>
    <sheetView zoomScaleNormal="100" workbookViewId="0">
      <selection activeCell="G1" sqref="G1"/>
    </sheetView>
  </sheetViews>
  <sheetFormatPr defaultColWidth="8.81640625" defaultRowHeight="12.5"/>
  <cols>
    <col min="1" max="1" width="12.54296875" style="980" customWidth="1"/>
    <col min="2" max="2" width="8.81640625" style="980"/>
    <col min="3" max="3" width="9.453125" style="980" customWidth="1"/>
    <col min="4" max="4" width="11.453125" style="980" customWidth="1"/>
    <col min="5" max="5" width="10.1796875" style="980" customWidth="1"/>
    <col min="6" max="6" width="12.453125" style="980" customWidth="1"/>
    <col min="7" max="7" width="10.453125" style="980" customWidth="1"/>
    <col min="8" max="8" width="3.54296875" style="980" customWidth="1"/>
    <col min="9" max="9" width="3.81640625" style="980" customWidth="1"/>
    <col min="10" max="10" width="9.453125" style="980" customWidth="1"/>
    <col min="11" max="11" width="10.453125" style="980" customWidth="1"/>
    <col min="12" max="12" width="9.81640625" style="980" bestFit="1" customWidth="1"/>
    <col min="13" max="13" width="10.453125" style="980" customWidth="1"/>
    <col min="14" max="14" width="12.1796875" style="980" customWidth="1"/>
    <col min="15" max="15" width="10.453125" style="980" customWidth="1"/>
    <col min="16" max="16384" width="8.81640625" style="980"/>
  </cols>
  <sheetData>
    <row r="1" spans="1:17" ht="18.5" thickBot="1">
      <c r="A1" s="975" t="s">
        <v>416</v>
      </c>
      <c r="B1" s="976"/>
      <c r="C1" s="976"/>
      <c r="D1" s="976"/>
      <c r="E1" s="976"/>
      <c r="F1" s="976"/>
      <c r="G1" s="977" t="str">
        <f>'Title Page'!F3</f>
        <v>OreSat - CS0</v>
      </c>
      <c r="H1" s="976"/>
      <c r="I1" s="978"/>
      <c r="J1" s="978"/>
      <c r="K1" s="978"/>
      <c r="L1" s="979" t="str">
        <f>'Title Page'!F23</f>
        <v>2019 June 21</v>
      </c>
      <c r="M1" s="978"/>
      <c r="N1" s="978"/>
      <c r="O1" s="978"/>
      <c r="P1" s="978"/>
      <c r="Q1" s="978"/>
    </row>
    <row r="2" spans="1:17" ht="13">
      <c r="A2" s="981"/>
      <c r="B2" s="1071" t="s">
        <v>1026</v>
      </c>
      <c r="C2" s="1071"/>
      <c r="D2" s="982"/>
      <c r="E2" s="982"/>
      <c r="F2" s="982"/>
      <c r="G2" s="982" t="s">
        <v>715</v>
      </c>
      <c r="H2" s="983"/>
      <c r="I2" s="984"/>
      <c r="J2" s="1071" t="s">
        <v>1027</v>
      </c>
      <c r="K2" s="1071"/>
      <c r="L2" s="982"/>
      <c r="M2" s="982"/>
      <c r="N2" s="982"/>
      <c r="O2" s="982"/>
      <c r="P2" s="982"/>
      <c r="Q2" s="983"/>
    </row>
    <row r="3" spans="1:17" ht="15" customHeight="1">
      <c r="A3" s="985"/>
      <c r="B3" s="1072" t="s">
        <v>1028</v>
      </c>
      <c r="C3" s="1073"/>
      <c r="D3" s="986"/>
      <c r="E3" s="987" t="s">
        <v>753</v>
      </c>
      <c r="F3" s="988">
        <f>Frequency!M10</f>
        <v>436.5</v>
      </c>
      <c r="G3" s="986"/>
      <c r="H3" s="989"/>
      <c r="I3" s="985"/>
      <c r="J3" s="1072" t="s">
        <v>423</v>
      </c>
      <c r="K3" s="1074"/>
      <c r="L3" s="986"/>
      <c r="M3" s="987" t="s">
        <v>753</v>
      </c>
      <c r="N3" s="988">
        <f>Frequency!M16</f>
        <v>436.5</v>
      </c>
      <c r="O3" s="986"/>
      <c r="P3" s="986"/>
      <c r="Q3" s="989"/>
    </row>
    <row r="4" spans="1:17" ht="13" thickBot="1">
      <c r="A4" s="985"/>
      <c r="B4" s="986"/>
      <c r="C4" s="986"/>
      <c r="D4" s="986"/>
      <c r="E4" s="986"/>
      <c r="F4" s="986"/>
      <c r="G4" s="986"/>
      <c r="H4" s="989"/>
      <c r="I4" s="985"/>
      <c r="J4" s="986"/>
      <c r="K4" s="986"/>
      <c r="L4" s="986"/>
      <c r="M4" s="986"/>
      <c r="N4" s="986"/>
      <c r="O4" s="986"/>
      <c r="P4" s="986"/>
      <c r="Q4" s="989"/>
    </row>
    <row r="5" spans="1:17" ht="13.5" thickBot="1">
      <c r="A5" s="990" t="s">
        <v>1039</v>
      </c>
      <c r="B5" s="991" t="s">
        <v>1040</v>
      </c>
      <c r="C5" s="992">
        <f>'Uplink Budget'!B30</f>
        <v>20.475509637384334</v>
      </c>
      <c r="D5" s="986"/>
      <c r="E5" s="993" t="s">
        <v>418</v>
      </c>
      <c r="F5" s="994">
        <f>'Uplink Budget'!B43</f>
        <v>9.575509637384334</v>
      </c>
      <c r="G5" s="995" t="str">
        <f>IF(F5&lt;0,"NO LINK !",IF(F5&lt;6,"MARGINAL LINK",IF(F5&gt;6,"LINK CLOSES")))</f>
        <v>LINK CLOSES</v>
      </c>
      <c r="H5" s="989"/>
      <c r="I5" s="985"/>
      <c r="J5" s="986"/>
      <c r="K5" s="991" t="s">
        <v>1029</v>
      </c>
      <c r="L5" s="996">
        <f>'Downlink Budget'!B28</f>
        <v>50000</v>
      </c>
      <c r="M5" s="986"/>
      <c r="N5" s="986"/>
      <c r="O5" s="986"/>
      <c r="P5" s="986"/>
      <c r="Q5" s="989"/>
    </row>
    <row r="6" spans="1:17" ht="13" thickBot="1">
      <c r="A6" s="985"/>
      <c r="B6" s="986"/>
      <c r="C6" s="986"/>
      <c r="D6" s="986"/>
      <c r="E6" s="986"/>
      <c r="F6" s="986"/>
      <c r="G6" s="997" t="s">
        <v>715</v>
      </c>
      <c r="H6" s="989"/>
      <c r="I6" s="985"/>
      <c r="J6" s="986"/>
      <c r="K6" s="986"/>
      <c r="L6" s="986"/>
      <c r="M6" s="986"/>
      <c r="N6" s="1057" t="s">
        <v>1030</v>
      </c>
      <c r="O6" s="1058"/>
      <c r="P6" s="986"/>
      <c r="Q6" s="989"/>
    </row>
    <row r="7" spans="1:17" ht="13.5" thickBot="1">
      <c r="A7" s="990" t="s">
        <v>421</v>
      </c>
      <c r="B7" s="991" t="s">
        <v>1031</v>
      </c>
      <c r="C7" s="992">
        <f>'Uplink Budget'!B61</f>
        <v>18.714597046827549</v>
      </c>
      <c r="D7" s="986"/>
      <c r="E7" s="993" t="s">
        <v>418</v>
      </c>
      <c r="F7" s="994">
        <f>'Uplink Budget'!B65</f>
        <v>7.814597046827549</v>
      </c>
      <c r="G7" s="995" t="str">
        <f>IF(F7&lt;0,"NO LINK !",IF(F7&lt;6,"MARGINAL LINK",IF(F7&gt;6,"LINK CLOSES")))</f>
        <v>LINK CLOSES</v>
      </c>
      <c r="H7" s="989"/>
      <c r="I7" s="985"/>
      <c r="J7" s="986"/>
      <c r="K7" s="998"/>
      <c r="L7" s="986"/>
      <c r="M7" s="986"/>
      <c r="N7" s="1061" t="str">
        <f>'Downlink Budget'!B32</f>
        <v>GMSK w/ BT=0.3</v>
      </c>
      <c r="O7" s="1062"/>
      <c r="P7" s="986"/>
      <c r="Q7" s="989"/>
    </row>
    <row r="8" spans="1:17" ht="13">
      <c r="A8" s="985"/>
      <c r="B8" s="986"/>
      <c r="C8" s="999"/>
      <c r="D8" s="986"/>
      <c r="E8" s="986"/>
      <c r="F8" s="1000"/>
      <c r="G8" s="986"/>
      <c r="H8" s="989"/>
      <c r="I8" s="985"/>
      <c r="J8" s="986"/>
      <c r="K8" s="998"/>
      <c r="L8" s="986"/>
      <c r="M8" s="986"/>
      <c r="N8" s="986"/>
      <c r="O8" s="986"/>
      <c r="P8" s="986"/>
      <c r="Q8" s="989"/>
    </row>
    <row r="9" spans="1:17" ht="13">
      <c r="A9" s="1001" t="s">
        <v>140</v>
      </c>
      <c r="B9" s="986"/>
      <c r="C9" s="999"/>
      <c r="D9" s="986"/>
      <c r="E9" s="986"/>
      <c r="F9" s="1000"/>
      <c r="G9" s="986"/>
      <c r="H9" s="989"/>
      <c r="I9" s="985"/>
      <c r="J9" s="986"/>
      <c r="K9" s="998"/>
      <c r="L9" s="986"/>
      <c r="M9" s="986"/>
      <c r="N9" s="1057" t="s">
        <v>1032</v>
      </c>
      <c r="O9" s="1058"/>
      <c r="P9" s="986"/>
      <c r="Q9" s="989"/>
    </row>
    <row r="10" spans="1:17">
      <c r="A10" s="985"/>
      <c r="B10" s="986"/>
      <c r="C10" s="991" t="s">
        <v>1029</v>
      </c>
      <c r="D10" s="996">
        <f>'Uplink Budget'!B28</f>
        <v>100000</v>
      </c>
      <c r="E10" s="986"/>
      <c r="F10" s="986"/>
      <c r="G10" s="986"/>
      <c r="H10" s="989"/>
      <c r="I10" s="985"/>
      <c r="J10" s="986"/>
      <c r="K10" s="986"/>
      <c r="L10" s="986"/>
      <c r="M10" s="986"/>
      <c r="N10" s="1061" t="str">
        <f>'Downlink Budget'!B33</f>
        <v>None</v>
      </c>
      <c r="O10" s="1062"/>
      <c r="P10" s="986"/>
      <c r="Q10" s="989"/>
    </row>
    <row r="11" spans="1:17">
      <c r="A11" s="985"/>
      <c r="B11" s="986"/>
      <c r="C11" s="986"/>
      <c r="D11" s="986"/>
      <c r="E11" s="986"/>
      <c r="F11" s="986"/>
      <c r="G11" s="986"/>
      <c r="H11" s="989"/>
      <c r="I11" s="985"/>
      <c r="J11" s="986"/>
      <c r="K11" s="986"/>
      <c r="L11" s="986"/>
      <c r="M11" s="986"/>
      <c r="N11" s="986"/>
      <c r="O11" s="986"/>
      <c r="P11" s="986"/>
      <c r="Q11" s="989"/>
    </row>
    <row r="12" spans="1:17">
      <c r="A12" s="985"/>
      <c r="B12" s="986"/>
      <c r="C12" s="986"/>
      <c r="D12" s="986"/>
      <c r="E12" s="986"/>
      <c r="F12" s="986"/>
      <c r="G12" s="986"/>
      <c r="H12" s="989"/>
      <c r="I12" s="985"/>
      <c r="J12" s="986"/>
      <c r="K12" s="986"/>
      <c r="L12" s="986"/>
      <c r="M12" s="986"/>
      <c r="N12" s="986"/>
      <c r="O12" s="986"/>
      <c r="P12" s="986"/>
      <c r="Q12" s="989"/>
    </row>
    <row r="13" spans="1:17" ht="15.5">
      <c r="A13" s="985"/>
      <c r="B13" s="986"/>
      <c r="C13" s="986"/>
      <c r="D13" s="986" t="s">
        <v>715</v>
      </c>
      <c r="E13" s="986"/>
      <c r="F13" s="1057" t="s">
        <v>1033</v>
      </c>
      <c r="G13" s="1058"/>
      <c r="H13" s="989"/>
      <c r="I13" s="985"/>
      <c r="J13" s="986"/>
      <c r="K13" s="986"/>
      <c r="L13" s="986"/>
      <c r="M13" s="986"/>
      <c r="N13" s="1002" t="s">
        <v>1041</v>
      </c>
      <c r="O13" s="1003">
        <v>0.5</v>
      </c>
      <c r="P13" s="986"/>
      <c r="Q13" s="989"/>
    </row>
    <row r="14" spans="1:17">
      <c r="A14" s="985"/>
      <c r="B14" s="986"/>
      <c r="C14" s="986"/>
      <c r="D14" s="986"/>
      <c r="E14" s="986"/>
      <c r="F14" s="1061" t="str">
        <f>'Uplink Budget'!B33</f>
        <v>None</v>
      </c>
      <c r="G14" s="1062"/>
      <c r="H14" s="989"/>
      <c r="I14" s="985"/>
      <c r="J14" s="986"/>
      <c r="K14" s="986"/>
      <c r="L14" s="986"/>
      <c r="M14" s="986"/>
      <c r="N14" s="986"/>
      <c r="O14" s="986"/>
      <c r="P14" s="986"/>
      <c r="Q14" s="989"/>
    </row>
    <row r="15" spans="1:17" ht="15.5">
      <c r="A15" s="985"/>
      <c r="B15" s="986"/>
      <c r="C15" s="986"/>
      <c r="D15" s="986"/>
      <c r="E15" s="986"/>
      <c r="F15" s="986"/>
      <c r="G15" s="986"/>
      <c r="H15" s="989"/>
      <c r="I15" s="985"/>
      <c r="J15" s="986"/>
      <c r="K15" s="986"/>
      <c r="L15" s="986"/>
      <c r="M15" s="986"/>
      <c r="N15" s="991" t="s">
        <v>1067</v>
      </c>
      <c r="O15" s="1043">
        <f>O19/O13</f>
        <v>2</v>
      </c>
      <c r="P15" s="986"/>
      <c r="Q15" s="989"/>
    </row>
    <row r="16" spans="1:17">
      <c r="A16" s="985"/>
      <c r="B16" s="986"/>
      <c r="C16" s="986"/>
      <c r="D16" s="986"/>
      <c r="E16" s="986"/>
      <c r="F16" s="986"/>
      <c r="G16" s="986"/>
      <c r="H16" s="989"/>
      <c r="I16" s="985"/>
      <c r="J16" s="986"/>
      <c r="K16" s="986"/>
      <c r="L16" s="986"/>
      <c r="M16" s="986"/>
      <c r="N16" s="986"/>
      <c r="O16" s="986"/>
      <c r="P16" s="986"/>
      <c r="Q16" s="989"/>
    </row>
    <row r="17" spans="1:17" ht="13.5">
      <c r="A17" s="985"/>
      <c r="B17" s="986"/>
      <c r="C17" s="986"/>
      <c r="D17" s="986"/>
      <c r="E17" s="986"/>
      <c r="F17" s="986"/>
      <c r="G17" s="986"/>
      <c r="H17" s="989"/>
      <c r="I17" s="985"/>
      <c r="J17" s="1004" t="s">
        <v>715</v>
      </c>
      <c r="K17" s="986"/>
      <c r="L17" s="986"/>
      <c r="M17" s="986"/>
      <c r="N17" s="1041" t="s">
        <v>1066</v>
      </c>
      <c r="O17" s="1043">
        <f>O15-O19</f>
        <v>1</v>
      </c>
      <c r="P17" s="986"/>
      <c r="Q17" s="989"/>
    </row>
    <row r="18" spans="1:17">
      <c r="A18" s="985"/>
      <c r="B18" s="986"/>
      <c r="C18" s="986"/>
      <c r="D18" s="986"/>
      <c r="E18" s="986"/>
      <c r="F18" s="1005" t="s">
        <v>422</v>
      </c>
      <c r="G18" s="1006">
        <f>'Uplink Budget'!B35</f>
        <v>1.0000000000000001E-5</v>
      </c>
      <c r="H18" s="989"/>
      <c r="I18" s="985"/>
      <c r="J18" s="986"/>
      <c r="K18" s="986"/>
      <c r="L18" s="986"/>
      <c r="M18" s="986"/>
      <c r="N18" s="986"/>
      <c r="O18" s="1007"/>
      <c r="P18" s="986"/>
      <c r="Q18" s="989"/>
    </row>
    <row r="19" spans="1:17">
      <c r="A19" s="985"/>
      <c r="B19" s="986"/>
      <c r="C19" s="986"/>
      <c r="D19" s="986"/>
      <c r="E19" s="986"/>
      <c r="F19" s="1057" t="s">
        <v>1034</v>
      </c>
      <c r="G19" s="1058"/>
      <c r="H19" s="989"/>
      <c r="I19" s="985"/>
      <c r="J19" s="986"/>
      <c r="K19" s="986"/>
      <c r="L19" s="986"/>
      <c r="M19" s="986"/>
      <c r="N19" s="1016" t="s">
        <v>1065</v>
      </c>
      <c r="O19" s="1042">
        <f>Transmitters!E60</f>
        <v>1</v>
      </c>
      <c r="P19" s="986"/>
      <c r="Q19" s="989"/>
    </row>
    <row r="20" spans="1:17">
      <c r="A20" s="985"/>
      <c r="B20" s="986"/>
      <c r="C20" s="986"/>
      <c r="D20" s="986"/>
      <c r="E20" s="986"/>
      <c r="F20" s="1061" t="str">
        <f>'Uplink Budget'!B32</f>
        <v>GMSK w/ BT=0.3</v>
      </c>
      <c r="G20" s="1062"/>
      <c r="H20" s="989"/>
      <c r="I20" s="985"/>
      <c r="J20" s="986"/>
      <c r="K20" s="986"/>
      <c r="L20" s="986"/>
      <c r="M20" s="986"/>
      <c r="N20" s="986"/>
      <c r="O20" s="986"/>
      <c r="P20" s="986"/>
      <c r="Q20" s="989"/>
    </row>
    <row r="21" spans="1:17">
      <c r="A21" s="985"/>
      <c r="B21" s="986"/>
      <c r="C21" s="986"/>
      <c r="D21" s="986"/>
      <c r="E21" s="986"/>
      <c r="F21" s="1008" t="s">
        <v>334</v>
      </c>
      <c r="G21" s="1009">
        <f>'Uplink Budget'!B41</f>
        <v>10.9</v>
      </c>
      <c r="H21" s="989"/>
      <c r="I21" s="985"/>
      <c r="J21" s="986"/>
      <c r="K21" s="986"/>
      <c r="L21" s="986"/>
      <c r="M21" s="986"/>
      <c r="N21" s="986"/>
      <c r="O21" s="986"/>
      <c r="P21" s="986"/>
      <c r="Q21" s="989"/>
    </row>
    <row r="22" spans="1:17">
      <c r="A22" s="985"/>
      <c r="B22" s="986"/>
      <c r="C22" s="986"/>
      <c r="D22" s="986"/>
      <c r="E22" s="986"/>
      <c r="F22" s="986"/>
      <c r="G22" s="986"/>
      <c r="H22" s="989"/>
      <c r="I22" s="985"/>
      <c r="J22" s="986"/>
      <c r="K22" s="986"/>
      <c r="L22" s="986"/>
      <c r="M22" s="986"/>
      <c r="N22" s="986"/>
      <c r="O22" s="986"/>
      <c r="P22" s="986"/>
      <c r="Q22" s="989"/>
    </row>
    <row r="23" spans="1:17">
      <c r="A23" s="985"/>
      <c r="B23" s="986"/>
      <c r="C23" s="986"/>
      <c r="D23" s="986"/>
      <c r="E23" s="986"/>
      <c r="F23" s="986"/>
      <c r="G23" s="986"/>
      <c r="H23" s="989"/>
      <c r="I23" s="985"/>
      <c r="J23" s="1004" t="s">
        <v>715</v>
      </c>
      <c r="K23" s="986"/>
      <c r="L23" s="986"/>
      <c r="M23" s="986"/>
      <c r="N23" s="991" t="s">
        <v>1042</v>
      </c>
      <c r="O23" s="1010">
        <f>Transmitters!I74</f>
        <v>7.5599999999999999E-3</v>
      </c>
      <c r="P23" s="986"/>
      <c r="Q23" s="989"/>
    </row>
    <row r="24" spans="1:17">
      <c r="A24" s="985"/>
      <c r="B24" s="986"/>
      <c r="C24" s="986"/>
      <c r="D24" s="986"/>
      <c r="E24" s="986"/>
      <c r="F24" s="986"/>
      <c r="G24" s="986"/>
      <c r="H24" s="989"/>
      <c r="I24" s="985"/>
      <c r="J24" s="986"/>
      <c r="K24" s="986"/>
      <c r="L24" s="986"/>
      <c r="M24" s="986"/>
      <c r="N24" s="986"/>
      <c r="O24" s="986"/>
      <c r="P24" s="986"/>
      <c r="Q24" s="989"/>
    </row>
    <row r="25" spans="1:17">
      <c r="A25" s="985"/>
      <c r="B25" s="986"/>
      <c r="C25" s="986"/>
      <c r="D25" s="986"/>
      <c r="E25" s="986"/>
      <c r="F25" s="991" t="s">
        <v>1043</v>
      </c>
      <c r="G25" s="1011">
        <f>'Uplink Budget'!B57</f>
        <v>150000</v>
      </c>
      <c r="H25" s="989"/>
      <c r="I25" s="985"/>
      <c r="J25" s="986"/>
      <c r="K25" s="986"/>
      <c r="L25" s="986"/>
      <c r="M25" s="986"/>
      <c r="N25" s="991" t="s">
        <v>1044</v>
      </c>
      <c r="O25" s="1012">
        <f>Transmitters!I78</f>
        <v>0.39600000000000002</v>
      </c>
      <c r="P25" s="986"/>
      <c r="Q25" s="989"/>
    </row>
    <row r="26" spans="1:17">
      <c r="A26" s="985"/>
      <c r="B26" s="986"/>
      <c r="C26" s="986"/>
      <c r="D26" s="986"/>
      <c r="E26" s="986"/>
      <c r="F26" s="1066" t="s">
        <v>420</v>
      </c>
      <c r="G26" s="1056"/>
      <c r="H26" s="989"/>
      <c r="I26" s="985"/>
      <c r="J26" s="986"/>
      <c r="K26" s="986"/>
      <c r="L26" s="986"/>
      <c r="M26" s="986"/>
      <c r="N26" s="986"/>
      <c r="O26" s="986"/>
      <c r="P26" s="986"/>
      <c r="Q26" s="989"/>
    </row>
    <row r="27" spans="1:17">
      <c r="A27" s="985"/>
      <c r="B27" s="986"/>
      <c r="C27" s="986"/>
      <c r="D27" s="986"/>
      <c r="E27" s="986"/>
      <c r="F27" s="986"/>
      <c r="G27" s="986"/>
      <c r="H27" s="989"/>
      <c r="I27" s="985"/>
      <c r="J27" s="986"/>
      <c r="K27" s="986"/>
      <c r="L27" s="986"/>
      <c r="M27" s="986"/>
      <c r="N27" s="991" t="s">
        <v>1045</v>
      </c>
      <c r="O27" s="1012">
        <f>SUM(Transmitters!I79:I81)</f>
        <v>0.38</v>
      </c>
      <c r="P27" s="986"/>
      <c r="Q27" s="989"/>
    </row>
    <row r="28" spans="1:17">
      <c r="A28" s="985"/>
      <c r="B28" s="986"/>
      <c r="C28" s="986"/>
      <c r="D28" s="986"/>
      <c r="E28" s="986"/>
      <c r="F28" s="986"/>
      <c r="G28" s="986"/>
      <c r="H28" s="989"/>
      <c r="I28" s="985"/>
      <c r="J28" s="986"/>
      <c r="K28" s="986"/>
      <c r="L28" s="986"/>
      <c r="M28" s="986"/>
      <c r="N28" s="986"/>
      <c r="O28" s="986"/>
      <c r="P28" s="986"/>
      <c r="Q28" s="989"/>
    </row>
    <row r="29" spans="1:17" ht="15.5">
      <c r="A29" s="985"/>
      <c r="B29" s="986"/>
      <c r="C29" s="986"/>
      <c r="D29" s="986"/>
      <c r="E29" s="986"/>
      <c r="F29" s="986"/>
      <c r="G29" s="986"/>
      <c r="H29" s="989"/>
      <c r="I29" s="985"/>
      <c r="J29" s="986"/>
      <c r="K29" s="986"/>
      <c r="L29" s="986"/>
      <c r="M29" s="986"/>
      <c r="N29" s="991" t="s">
        <v>1035</v>
      </c>
      <c r="O29" s="1012">
        <f>Transmitters!I83</f>
        <v>0.04</v>
      </c>
      <c r="P29" s="986"/>
      <c r="Q29" s="989"/>
    </row>
    <row r="30" spans="1:17">
      <c r="A30" s="985"/>
      <c r="B30" s="986"/>
      <c r="C30" s="986"/>
      <c r="D30" s="986"/>
      <c r="E30" s="986"/>
      <c r="F30" s="986"/>
      <c r="G30" s="986"/>
      <c r="H30" s="989"/>
      <c r="I30" s="985"/>
      <c r="J30" s="1004" t="s">
        <v>715</v>
      </c>
      <c r="K30" s="986"/>
      <c r="L30" s="986"/>
      <c r="M30" s="986"/>
      <c r="N30" s="986"/>
      <c r="O30" s="986"/>
      <c r="P30" s="986"/>
      <c r="Q30" s="989"/>
    </row>
    <row r="31" spans="1:17">
      <c r="A31" s="985"/>
      <c r="B31" s="986"/>
      <c r="C31" s="986"/>
      <c r="D31" s="986"/>
      <c r="E31" s="986"/>
      <c r="F31" s="986"/>
      <c r="G31" s="986"/>
      <c r="H31" s="989"/>
      <c r="I31" s="985"/>
      <c r="J31" s="986"/>
      <c r="K31" s="986"/>
      <c r="L31" s="986"/>
      <c r="M31" s="986"/>
      <c r="N31" s="986"/>
      <c r="O31" s="986"/>
      <c r="P31" s="986"/>
      <c r="Q31" s="989"/>
    </row>
    <row r="32" spans="1:17">
      <c r="A32" s="985"/>
      <c r="B32" s="986"/>
      <c r="C32" s="986"/>
      <c r="D32" s="986"/>
      <c r="E32" s="986"/>
      <c r="F32" s="986"/>
      <c r="G32" s="986"/>
      <c r="H32" s="989"/>
      <c r="I32" s="985"/>
      <c r="J32" s="986"/>
      <c r="K32" s="986"/>
      <c r="L32" s="986"/>
      <c r="M32" s="986"/>
      <c r="N32" s="991" t="s">
        <v>1046</v>
      </c>
      <c r="O32" s="1013">
        <f>Transmitters!I85</f>
        <v>0.82356000000000007</v>
      </c>
      <c r="P32" s="986"/>
      <c r="Q32" s="989"/>
    </row>
    <row r="33" spans="1:17" ht="13">
      <c r="A33" s="985"/>
      <c r="B33" s="986"/>
      <c r="C33" s="986"/>
      <c r="D33" s="986"/>
      <c r="E33" s="986"/>
      <c r="F33" s="1014" t="s">
        <v>419</v>
      </c>
      <c r="G33" s="1015">
        <f>'Uplink Budget'!B26</f>
        <v>-23.330616183614666</v>
      </c>
      <c r="H33" s="989"/>
      <c r="I33" s="985"/>
      <c r="J33" s="986"/>
      <c r="K33" s="986"/>
      <c r="L33" s="986"/>
      <c r="M33" s="986"/>
      <c r="N33" s="986"/>
      <c r="O33" s="986"/>
      <c r="P33" s="986"/>
      <c r="Q33" s="989"/>
    </row>
    <row r="34" spans="1:17" ht="15.5">
      <c r="A34" s="985"/>
      <c r="B34" s="986"/>
      <c r="C34" s="986"/>
      <c r="D34" s="986"/>
      <c r="E34" s="986"/>
      <c r="F34" s="986"/>
      <c r="G34" s="986"/>
      <c r="H34" s="989"/>
      <c r="I34" s="985"/>
      <c r="J34" s="986"/>
      <c r="K34" s="986"/>
      <c r="L34" s="986"/>
      <c r="M34" s="986"/>
      <c r="N34" s="1016" t="s">
        <v>1036</v>
      </c>
      <c r="O34" s="1017">
        <f>Transmitters!I87+30</f>
        <v>29.176439999999999</v>
      </c>
      <c r="P34" s="986"/>
      <c r="Q34" s="989"/>
    </row>
    <row r="35" spans="1:17">
      <c r="A35" s="985"/>
      <c r="B35" s="986"/>
      <c r="C35" s="986"/>
      <c r="D35" s="986"/>
      <c r="E35" s="986"/>
      <c r="F35" s="1014" t="s">
        <v>1047</v>
      </c>
      <c r="G35" s="1018">
        <f>'Uplink Budget'!B25</f>
        <v>214.63750846737568</v>
      </c>
      <c r="H35" s="989"/>
      <c r="I35" s="985"/>
      <c r="J35" s="986"/>
      <c r="K35" s="986"/>
      <c r="L35" s="986"/>
      <c r="M35" s="986"/>
      <c r="N35" s="986"/>
      <c r="O35" s="986"/>
      <c r="P35" s="986"/>
      <c r="Q35" s="989"/>
    </row>
    <row r="36" spans="1:17" ht="13">
      <c r="A36" s="985"/>
      <c r="B36" s="986"/>
      <c r="C36" s="986"/>
      <c r="D36" s="986"/>
      <c r="E36" s="986"/>
      <c r="F36" s="986"/>
      <c r="G36" s="986"/>
      <c r="H36" s="989"/>
      <c r="I36" s="985"/>
      <c r="J36" s="986"/>
      <c r="K36" s="986"/>
      <c r="L36" s="986"/>
      <c r="M36" s="1019" t="s">
        <v>876</v>
      </c>
      <c r="N36" s="986"/>
      <c r="O36" s="986"/>
      <c r="P36" s="986"/>
      <c r="Q36" s="989"/>
    </row>
    <row r="37" spans="1:17">
      <c r="A37" s="985"/>
      <c r="B37" s="986"/>
      <c r="C37" s="986"/>
      <c r="D37" s="986"/>
      <c r="E37" s="986"/>
      <c r="F37" s="986"/>
      <c r="G37" s="986"/>
      <c r="H37" s="989"/>
      <c r="I37" s="985"/>
      <c r="J37" s="986"/>
      <c r="K37" s="986"/>
      <c r="L37" s="986"/>
      <c r="M37" s="986"/>
      <c r="N37" s="986"/>
      <c r="O37" s="986"/>
      <c r="P37" s="986"/>
      <c r="Q37" s="989"/>
    </row>
    <row r="38" spans="1:17">
      <c r="A38" s="985"/>
      <c r="B38" s="986"/>
      <c r="C38" s="986"/>
      <c r="D38" s="986"/>
      <c r="E38" s="986"/>
      <c r="F38" s="986"/>
      <c r="G38" s="986"/>
      <c r="H38" s="989"/>
      <c r="I38" s="985"/>
      <c r="J38" s="986"/>
      <c r="K38" s="986"/>
      <c r="L38" s="986"/>
      <c r="M38" s="986"/>
      <c r="N38" s="1020" t="s">
        <v>1048</v>
      </c>
      <c r="O38" s="1021">
        <f>'Downlink Budget'!B10</f>
        <v>1.4</v>
      </c>
      <c r="P38" s="986"/>
      <c r="Q38" s="989"/>
    </row>
    <row r="39" spans="1:17">
      <c r="A39" s="985"/>
      <c r="B39" s="986"/>
      <c r="C39" s="986"/>
      <c r="D39" s="986"/>
      <c r="E39" s="986"/>
      <c r="F39" s="986"/>
      <c r="G39" s="986"/>
      <c r="H39" s="989"/>
      <c r="I39" s="985"/>
      <c r="J39" s="986"/>
      <c r="K39" s="986"/>
      <c r="L39" s="986"/>
      <c r="M39" s="986"/>
      <c r="N39" s="1005" t="s">
        <v>60</v>
      </c>
      <c r="O39" s="1022" t="str">
        <f>'Antenna Gain'!K41</f>
        <v>RHCP</v>
      </c>
      <c r="P39" s="986"/>
      <c r="Q39" s="989"/>
    </row>
    <row r="40" spans="1:17">
      <c r="A40" s="985"/>
      <c r="B40" s="986"/>
      <c r="C40" s="986"/>
      <c r="D40" s="986"/>
      <c r="E40" s="986"/>
      <c r="F40" s="991" t="s">
        <v>1006</v>
      </c>
      <c r="G40" s="1023">
        <f>Receivers!J67</f>
        <v>1498.1255053982986</v>
      </c>
      <c r="H40" s="989"/>
      <c r="I40" s="985"/>
      <c r="J40" s="1067" t="str">
        <f>'Antenna Gain'!F41</f>
        <v>Canted Turnstyle (back)</v>
      </c>
      <c r="K40" s="1067"/>
      <c r="L40" s="986"/>
      <c r="M40" s="986"/>
      <c r="N40" s="1005" t="s">
        <v>1049</v>
      </c>
      <c r="O40" s="1024">
        <f>'Antenna Pointing Losses'!G85</f>
        <v>20</v>
      </c>
      <c r="P40" s="986"/>
      <c r="Q40" s="989"/>
    </row>
    <row r="41" spans="1:17">
      <c r="A41" s="985"/>
      <c r="B41" s="986"/>
      <c r="C41" s="986"/>
      <c r="D41" s="986"/>
      <c r="E41" s="986"/>
      <c r="F41" s="986"/>
      <c r="G41" s="986"/>
      <c r="H41" s="989"/>
      <c r="I41" s="985"/>
      <c r="J41" s="986"/>
      <c r="K41" s="986"/>
      <c r="L41" s="986"/>
      <c r="M41" s="986"/>
      <c r="N41" s="986"/>
      <c r="O41" s="986"/>
      <c r="P41" s="986"/>
      <c r="Q41" s="989"/>
    </row>
    <row r="42" spans="1:17" ht="13">
      <c r="A42" s="985"/>
      <c r="B42" s="986"/>
      <c r="C42" s="986"/>
      <c r="D42" s="986"/>
      <c r="E42" s="986"/>
      <c r="F42" s="986"/>
      <c r="G42" s="986"/>
      <c r="H42" s="989"/>
      <c r="I42" s="985"/>
      <c r="J42" s="986"/>
      <c r="K42" s="986"/>
      <c r="L42" s="986"/>
      <c r="M42" s="986"/>
      <c r="N42" s="1025" t="s">
        <v>1050</v>
      </c>
      <c r="O42" s="1026">
        <f>'Downlink Budget'!B11+30</f>
        <v>30.576439999999998</v>
      </c>
      <c r="P42" s="986"/>
      <c r="Q42" s="989"/>
    </row>
    <row r="43" spans="1:17">
      <c r="A43" s="985"/>
      <c r="B43" s="986"/>
      <c r="C43" s="986"/>
      <c r="D43" s="986"/>
      <c r="E43" s="986"/>
      <c r="F43" s="986"/>
      <c r="G43" s="986"/>
      <c r="H43" s="989"/>
      <c r="I43" s="985"/>
      <c r="J43" s="986"/>
      <c r="K43" s="986"/>
      <c r="L43" s="986"/>
      <c r="M43" s="986"/>
      <c r="N43" s="986"/>
      <c r="O43" s="986"/>
      <c r="P43" s="986"/>
      <c r="Q43" s="989"/>
    </row>
    <row r="44" spans="1:17">
      <c r="A44" s="985"/>
      <c r="B44" s="986"/>
      <c r="C44" s="986"/>
      <c r="D44" s="986"/>
      <c r="E44" s="986"/>
      <c r="F44" s="986"/>
      <c r="G44" s="986"/>
      <c r="H44" s="989"/>
      <c r="I44" s="985"/>
      <c r="J44" s="986"/>
      <c r="K44" s="986"/>
      <c r="L44" s="986"/>
      <c r="M44" s="986"/>
      <c r="N44" s="1057" t="s">
        <v>1037</v>
      </c>
      <c r="O44" s="1068"/>
      <c r="P44" s="986"/>
      <c r="Q44" s="989"/>
    </row>
    <row r="45" spans="1:17" ht="13">
      <c r="A45" s="985"/>
      <c r="B45" s="986"/>
      <c r="C45" s="986"/>
      <c r="D45" s="986"/>
      <c r="E45" s="986"/>
      <c r="F45" s="1027" t="s">
        <v>1051</v>
      </c>
      <c r="G45" s="992">
        <f>Receivers!F65</f>
        <v>24</v>
      </c>
      <c r="H45" s="989"/>
      <c r="I45" s="985"/>
      <c r="J45" s="986"/>
      <c r="K45" s="986"/>
      <c r="L45" s="986"/>
      <c r="M45" s="986"/>
      <c r="N45" s="1069">
        <f>SUM('Downlink Budget'!B13:B18)+'Downlink Budget'!B22</f>
        <v>150.6883401356408</v>
      </c>
      <c r="O45" s="1070"/>
      <c r="P45" s="986"/>
      <c r="Q45" s="989"/>
    </row>
    <row r="46" spans="1:17">
      <c r="A46" s="985"/>
      <c r="B46" s="986"/>
      <c r="C46" s="986"/>
      <c r="D46" s="986"/>
      <c r="E46" s="986"/>
      <c r="F46" s="986"/>
      <c r="G46" s="986"/>
      <c r="H46" s="989"/>
      <c r="I46" s="985"/>
      <c r="J46" s="986"/>
      <c r="K46" s="986"/>
      <c r="L46" s="986"/>
      <c r="M46" s="986"/>
      <c r="N46" s="986"/>
      <c r="O46" s="986"/>
      <c r="P46" s="986"/>
      <c r="Q46" s="989"/>
    </row>
    <row r="47" spans="1:17" ht="15.5">
      <c r="A47" s="985"/>
      <c r="B47" s="986"/>
      <c r="C47" s="986"/>
      <c r="D47" s="986"/>
      <c r="E47" s="986"/>
      <c r="F47" s="1027" t="s">
        <v>1052</v>
      </c>
      <c r="G47" s="1023">
        <f>Receivers!J63</f>
        <v>27</v>
      </c>
      <c r="H47" s="989"/>
      <c r="I47" s="985"/>
      <c r="J47" s="986"/>
      <c r="K47" s="986"/>
      <c r="L47" s="986"/>
      <c r="M47" s="986"/>
      <c r="N47" s="991" t="s">
        <v>1053</v>
      </c>
      <c r="O47" s="1028">
        <f>'Downlink Budget'!B19+30</f>
        <v>-119.79793037132544</v>
      </c>
      <c r="P47" s="986"/>
      <c r="Q47" s="989"/>
    </row>
    <row r="48" spans="1:17">
      <c r="A48" s="985"/>
      <c r="B48" s="986"/>
      <c r="C48" s="986"/>
      <c r="D48" s="986"/>
      <c r="E48" s="986"/>
      <c r="F48" s="986"/>
      <c r="G48" s="986"/>
      <c r="H48" s="989"/>
      <c r="I48" s="985"/>
      <c r="J48" s="986"/>
      <c r="K48" s="986"/>
      <c r="L48" s="986"/>
      <c r="M48" s="986"/>
      <c r="N48" s="986"/>
      <c r="O48" s="986"/>
      <c r="P48" s="986"/>
      <c r="Q48" s="989"/>
    </row>
    <row r="49" spans="1:17">
      <c r="A49" s="985"/>
      <c r="B49" s="986"/>
      <c r="C49" s="986"/>
      <c r="D49" s="986"/>
      <c r="E49" s="986"/>
      <c r="F49" s="986"/>
      <c r="G49" s="986"/>
      <c r="H49" s="989"/>
      <c r="I49" s="985"/>
      <c r="J49" s="1067" t="str">
        <f>'Antenna Gain'!F58</f>
        <v>Crossed Yagi</v>
      </c>
      <c r="K49" s="1067"/>
      <c r="L49" s="986"/>
      <c r="M49" s="986"/>
      <c r="N49" s="991" t="s">
        <v>1054</v>
      </c>
      <c r="O49" s="1029">
        <f>'Downlink Budget'!B23</f>
        <v>15.5</v>
      </c>
      <c r="P49" s="986"/>
      <c r="Q49" s="989"/>
    </row>
    <row r="50" spans="1:17">
      <c r="A50" s="985"/>
      <c r="B50" s="986"/>
      <c r="C50" s="986"/>
      <c r="D50" s="986"/>
      <c r="E50" s="986"/>
      <c r="F50" s="986"/>
      <c r="G50" s="986"/>
      <c r="H50" s="989"/>
      <c r="I50" s="985"/>
      <c r="J50" s="986"/>
      <c r="K50" s="986"/>
      <c r="L50" s="986"/>
      <c r="M50" s="986"/>
      <c r="N50" s="1005" t="s">
        <v>60</v>
      </c>
      <c r="O50" s="1022" t="str">
        <f>'Antenna Gain'!K58</f>
        <v>RHCP</v>
      </c>
      <c r="P50" s="986"/>
      <c r="Q50" s="989"/>
    </row>
    <row r="51" spans="1:17">
      <c r="A51" s="985"/>
      <c r="B51" s="986"/>
      <c r="C51" s="986"/>
      <c r="D51" s="986"/>
      <c r="E51" s="986"/>
      <c r="F51" s="991" t="s">
        <v>1055</v>
      </c>
      <c r="G51" s="1030">
        <f>Receivers!J55</f>
        <v>1.4135599999999999</v>
      </c>
      <c r="H51" s="989"/>
      <c r="I51" s="985"/>
      <c r="J51" s="986"/>
      <c r="K51" s="986"/>
      <c r="L51" s="986"/>
      <c r="M51" s="986"/>
      <c r="N51" s="1005" t="s">
        <v>1049</v>
      </c>
      <c r="O51" s="1024">
        <f>'Antenna Pointing Losses'!F102</f>
        <v>5</v>
      </c>
      <c r="P51" s="986"/>
      <c r="Q51" s="989"/>
    </row>
    <row r="52" spans="1:17">
      <c r="A52" s="985"/>
      <c r="B52" s="986"/>
      <c r="C52" s="986"/>
      <c r="D52" s="986"/>
      <c r="E52" s="986"/>
      <c r="F52" s="986"/>
      <c r="G52" s="986"/>
      <c r="H52" s="989"/>
      <c r="I52" s="985"/>
      <c r="J52" s="986"/>
      <c r="K52" s="986"/>
      <c r="L52" s="986"/>
      <c r="M52" s="986"/>
      <c r="N52" s="986"/>
      <c r="O52" s="986"/>
      <c r="P52" s="986"/>
      <c r="Q52" s="989"/>
    </row>
    <row r="53" spans="1:17" ht="13">
      <c r="A53" s="985"/>
      <c r="B53" s="986"/>
      <c r="C53" s="986"/>
      <c r="D53" s="986"/>
      <c r="E53" s="986"/>
      <c r="F53" s="986"/>
      <c r="G53" s="986"/>
      <c r="H53" s="989"/>
      <c r="I53" s="985"/>
      <c r="J53" s="986"/>
      <c r="K53" s="986"/>
      <c r="L53" s="986"/>
      <c r="M53" s="1019" t="s">
        <v>881</v>
      </c>
      <c r="N53" s="986"/>
      <c r="O53" s="986"/>
      <c r="P53" s="986"/>
      <c r="Q53" s="989"/>
    </row>
    <row r="54" spans="1:17">
      <c r="A54" s="985"/>
      <c r="B54" s="986"/>
      <c r="C54" s="986"/>
      <c r="D54" s="986"/>
      <c r="E54" s="986"/>
      <c r="F54" s="991" t="s">
        <v>1045</v>
      </c>
      <c r="G54" s="1012">
        <f>SUM(Receivers!J50:J52)</f>
        <v>1.01</v>
      </c>
      <c r="H54" s="989"/>
      <c r="I54" s="985"/>
      <c r="J54" s="986"/>
      <c r="K54" s="986"/>
      <c r="L54" s="986"/>
      <c r="M54" s="986"/>
      <c r="N54" s="986"/>
      <c r="O54" s="986"/>
      <c r="P54" s="986"/>
      <c r="Q54" s="989"/>
    </row>
    <row r="55" spans="1:17">
      <c r="A55" s="985"/>
      <c r="B55" s="986"/>
      <c r="C55" s="986"/>
      <c r="D55" s="986"/>
      <c r="E55" s="986"/>
      <c r="F55" s="986"/>
      <c r="G55" s="986"/>
      <c r="H55" s="989"/>
      <c r="I55" s="985"/>
      <c r="J55" s="986"/>
      <c r="K55" s="986"/>
      <c r="L55" s="986"/>
      <c r="M55" s="986"/>
      <c r="N55" s="991" t="s">
        <v>1056</v>
      </c>
      <c r="O55" s="1023">
        <f>Receivers!J130</f>
        <v>500</v>
      </c>
      <c r="P55" s="986"/>
      <c r="Q55" s="989"/>
    </row>
    <row r="56" spans="1:17">
      <c r="A56" s="985"/>
      <c r="B56" s="986"/>
      <c r="C56" s="986"/>
      <c r="D56" s="986"/>
      <c r="E56" s="986"/>
      <c r="F56" s="991" t="s">
        <v>1044</v>
      </c>
      <c r="G56" s="1012">
        <f>Receivers!J53</f>
        <v>0.39600000000000002</v>
      </c>
      <c r="H56" s="989"/>
      <c r="I56" s="985"/>
      <c r="J56" s="986"/>
      <c r="K56" s="986"/>
      <c r="L56" s="986"/>
      <c r="M56" s="986"/>
      <c r="N56" s="986"/>
      <c r="O56" s="986"/>
      <c r="P56" s="986"/>
      <c r="Q56" s="989"/>
    </row>
    <row r="57" spans="1:17">
      <c r="A57" s="985"/>
      <c r="B57" s="986"/>
      <c r="C57" s="986"/>
      <c r="D57" s="986"/>
      <c r="E57" s="986"/>
      <c r="F57" s="986"/>
      <c r="G57" s="986"/>
      <c r="H57" s="989"/>
      <c r="I57" s="985"/>
      <c r="J57" s="986"/>
      <c r="K57" s="986"/>
      <c r="L57" s="986"/>
      <c r="M57" s="986"/>
      <c r="N57" s="986"/>
      <c r="O57" s="986"/>
      <c r="P57" s="986"/>
      <c r="Q57" s="989"/>
    </row>
    <row r="58" spans="1:17">
      <c r="A58" s="985"/>
      <c r="B58" s="986"/>
      <c r="C58" s="986"/>
      <c r="D58" s="986"/>
      <c r="E58" s="986"/>
      <c r="F58" s="991" t="s">
        <v>1042</v>
      </c>
      <c r="G58" s="1010">
        <f>SUM(Receivers!J47:J49)</f>
        <v>7.5599999999999999E-3</v>
      </c>
      <c r="H58" s="989"/>
      <c r="I58" s="985"/>
      <c r="J58" s="986"/>
      <c r="K58" s="986"/>
      <c r="L58" s="986"/>
      <c r="M58" s="986"/>
      <c r="N58" s="991" t="s">
        <v>1042</v>
      </c>
      <c r="O58" s="1010">
        <f>SUM(Receivers!J118:J120)</f>
        <v>7.5899999999999995E-2</v>
      </c>
      <c r="P58" s="986"/>
      <c r="Q58" s="989"/>
    </row>
    <row r="59" spans="1:17">
      <c r="A59" s="985"/>
      <c r="B59" s="986"/>
      <c r="C59" s="986"/>
      <c r="D59" s="986"/>
      <c r="E59" s="986"/>
      <c r="F59" s="986"/>
      <c r="G59" s="986"/>
      <c r="H59" s="989"/>
      <c r="I59" s="985"/>
      <c r="J59" s="986"/>
      <c r="K59" s="986"/>
      <c r="L59" s="986"/>
      <c r="M59" s="986"/>
      <c r="N59" s="986"/>
      <c r="O59" s="986"/>
      <c r="P59" s="986"/>
      <c r="Q59" s="989"/>
    </row>
    <row r="60" spans="1:17">
      <c r="A60" s="985"/>
      <c r="B60" s="986"/>
      <c r="C60" s="986"/>
      <c r="D60" s="986"/>
      <c r="E60" s="986"/>
      <c r="F60" s="986"/>
      <c r="G60" s="986"/>
      <c r="H60" s="989"/>
      <c r="I60" s="985"/>
      <c r="J60" s="986"/>
      <c r="K60" s="986"/>
      <c r="L60" s="986"/>
      <c r="M60" s="986"/>
      <c r="N60" s="991" t="s">
        <v>1044</v>
      </c>
      <c r="O60" s="1012">
        <f>Receivers!J123</f>
        <v>0.1</v>
      </c>
      <c r="P60" s="986"/>
      <c r="Q60" s="989"/>
    </row>
    <row r="61" spans="1:17">
      <c r="A61" s="985"/>
      <c r="B61" s="986"/>
      <c r="C61" s="986"/>
      <c r="D61" s="986"/>
      <c r="E61" s="986"/>
      <c r="F61" s="991" t="s">
        <v>1056</v>
      </c>
      <c r="G61" s="1023">
        <f>Receivers!J59</f>
        <v>140</v>
      </c>
      <c r="H61" s="989"/>
      <c r="I61" s="985"/>
      <c r="J61" s="986"/>
      <c r="K61" s="986"/>
      <c r="L61" s="986"/>
      <c r="M61" s="986"/>
      <c r="N61" s="986"/>
      <c r="O61" s="986"/>
      <c r="P61" s="986"/>
      <c r="Q61" s="989"/>
    </row>
    <row r="62" spans="1:17">
      <c r="A62" s="985"/>
      <c r="B62" s="986"/>
      <c r="C62" s="986"/>
      <c r="D62" s="986"/>
      <c r="E62" s="986"/>
      <c r="F62" s="986"/>
      <c r="G62" s="986"/>
      <c r="H62" s="989"/>
      <c r="I62" s="985"/>
      <c r="J62" s="986"/>
      <c r="K62" s="986"/>
      <c r="L62" s="986"/>
      <c r="M62" s="986"/>
      <c r="N62" s="991" t="s">
        <v>1045</v>
      </c>
      <c r="O62" s="1012">
        <f>SUM(Receivers!J121:J122)</f>
        <v>0</v>
      </c>
      <c r="P62" s="986"/>
      <c r="Q62" s="989"/>
    </row>
    <row r="63" spans="1:17" ht="13">
      <c r="A63" s="985"/>
      <c r="B63" s="986"/>
      <c r="C63" s="986"/>
      <c r="D63" s="986"/>
      <c r="E63" s="1019" t="s">
        <v>881</v>
      </c>
      <c r="F63" s="986"/>
      <c r="G63" s="986"/>
      <c r="H63" s="989"/>
      <c r="I63" s="985"/>
      <c r="J63" s="986"/>
      <c r="K63" s="986"/>
      <c r="L63" s="986"/>
      <c r="M63" s="986"/>
      <c r="N63" s="986"/>
      <c r="O63" s="986"/>
      <c r="P63" s="986"/>
      <c r="Q63" s="989"/>
    </row>
    <row r="64" spans="1:17">
      <c r="A64" s="985"/>
      <c r="B64" s="986"/>
      <c r="C64" s="986"/>
      <c r="D64" s="986"/>
      <c r="E64" s="986"/>
      <c r="F64" s="986"/>
      <c r="G64" s="986"/>
      <c r="H64" s="989"/>
      <c r="I64" s="985"/>
      <c r="J64" s="986"/>
      <c r="K64" s="986"/>
      <c r="L64" s="986"/>
      <c r="M64" s="986"/>
      <c r="N64" s="986"/>
      <c r="O64" s="986"/>
      <c r="P64" s="986"/>
      <c r="Q64" s="989"/>
    </row>
    <row r="65" spans="1:17">
      <c r="A65" s="985"/>
      <c r="B65" s="986"/>
      <c r="C65" s="986"/>
      <c r="D65" s="986"/>
      <c r="E65" s="986"/>
      <c r="F65" s="991" t="s">
        <v>1054</v>
      </c>
      <c r="G65" s="1029">
        <f>'Uplink Budget'!B23</f>
        <v>1.4</v>
      </c>
      <c r="H65" s="989"/>
      <c r="I65" s="985"/>
      <c r="J65" s="986"/>
      <c r="K65" s="986"/>
      <c r="L65" s="986"/>
      <c r="M65" s="986"/>
      <c r="N65" s="991" t="s">
        <v>1055</v>
      </c>
      <c r="O65" s="1030">
        <f>Receivers!J126</f>
        <v>0.1759</v>
      </c>
      <c r="P65" s="986"/>
      <c r="Q65" s="989"/>
    </row>
    <row r="66" spans="1:17">
      <c r="A66" s="985"/>
      <c r="B66" s="986"/>
      <c r="C66" s="986"/>
      <c r="D66" s="986"/>
      <c r="E66" s="986"/>
      <c r="F66" s="1005" t="s">
        <v>60</v>
      </c>
      <c r="G66" s="1031" t="str">
        <f>'Antenna Gain'!K11</f>
        <v>RHCP</v>
      </c>
      <c r="H66" s="989"/>
      <c r="I66" s="985"/>
      <c r="J66" s="986"/>
      <c r="K66" s="986"/>
      <c r="L66" s="986"/>
      <c r="M66" s="986"/>
      <c r="N66" s="986"/>
      <c r="O66" s="986"/>
      <c r="P66" s="986"/>
      <c r="Q66" s="989"/>
    </row>
    <row r="67" spans="1:17">
      <c r="A67" s="985"/>
      <c r="B67" s="1065" t="str">
        <f>'Antenna Gain'!F24</f>
        <v>Canted Turnstyle (back)</v>
      </c>
      <c r="C67" s="1065"/>
      <c r="D67" s="986"/>
      <c r="E67" s="986"/>
      <c r="F67" s="1005" t="s">
        <v>1049</v>
      </c>
      <c r="G67" s="1024">
        <f>'Antenna Pointing Losses'!G63</f>
        <v>20</v>
      </c>
      <c r="H67" s="989"/>
      <c r="I67" s="985"/>
      <c r="J67" s="986"/>
      <c r="K67" s="986"/>
      <c r="L67" s="986"/>
      <c r="M67" s="986"/>
      <c r="N67" s="986"/>
      <c r="O67" s="986"/>
      <c r="P67" s="986"/>
      <c r="Q67" s="989"/>
    </row>
    <row r="68" spans="1:17">
      <c r="A68" s="985"/>
      <c r="B68" s="986"/>
      <c r="C68" s="986"/>
      <c r="D68" s="986"/>
      <c r="E68" s="986"/>
      <c r="F68" s="986" t="s">
        <v>715</v>
      </c>
      <c r="G68" s="986"/>
      <c r="H68" s="989"/>
      <c r="I68" s="985"/>
      <c r="J68" s="986"/>
      <c r="K68" s="986"/>
      <c r="L68" s="986"/>
      <c r="M68" s="986"/>
      <c r="N68" s="986"/>
      <c r="O68" s="986"/>
      <c r="P68" s="986"/>
      <c r="Q68" s="989"/>
    </row>
    <row r="69" spans="1:17" ht="15.5">
      <c r="A69" s="985"/>
      <c r="B69" s="986"/>
      <c r="C69" s="986"/>
      <c r="D69" s="986"/>
      <c r="E69" s="986"/>
      <c r="F69" s="991" t="s">
        <v>1057</v>
      </c>
      <c r="G69" s="1028">
        <f>'Uplink Budget'!B19+30</f>
        <v>-104.49387417900098</v>
      </c>
      <c r="H69" s="989"/>
      <c r="I69" s="985"/>
      <c r="J69" s="986"/>
      <c r="K69" s="986"/>
      <c r="L69" s="986"/>
      <c r="M69" s="986"/>
      <c r="N69" s="1027" t="s">
        <v>1052</v>
      </c>
      <c r="O69" s="1023">
        <f>Receivers!J134</f>
        <v>39</v>
      </c>
      <c r="P69" s="986"/>
      <c r="Q69" s="989"/>
    </row>
    <row r="70" spans="1:17">
      <c r="A70" s="985"/>
      <c r="B70" s="986"/>
      <c r="C70" s="986"/>
      <c r="D70" s="986"/>
      <c r="E70" s="986"/>
      <c r="F70" s="986"/>
      <c r="G70" s="986"/>
      <c r="H70" s="989"/>
      <c r="I70" s="985"/>
      <c r="J70" s="986"/>
      <c r="K70" s="986"/>
      <c r="L70" s="986"/>
      <c r="M70" s="986"/>
      <c r="N70" s="986"/>
      <c r="O70" s="986"/>
      <c r="P70" s="986"/>
      <c r="Q70" s="989"/>
    </row>
    <row r="71" spans="1:17">
      <c r="A71" s="985"/>
      <c r="B71" s="986"/>
      <c r="C71" s="986"/>
      <c r="D71" s="986"/>
      <c r="E71" s="986"/>
      <c r="F71" s="1057" t="s">
        <v>1037</v>
      </c>
      <c r="G71" s="1058"/>
      <c r="H71" s="989"/>
      <c r="I71" s="985"/>
      <c r="J71" s="986"/>
      <c r="K71" s="986"/>
      <c r="L71" s="986"/>
      <c r="M71" s="986"/>
      <c r="N71" s="1027" t="s">
        <v>1051</v>
      </c>
      <c r="O71" s="992">
        <f>Receivers!F136</f>
        <v>18</v>
      </c>
      <c r="P71" s="986"/>
      <c r="Q71" s="989"/>
    </row>
    <row r="72" spans="1:17" ht="13">
      <c r="A72" s="985"/>
      <c r="B72" s="986"/>
      <c r="C72" s="986"/>
      <c r="D72" s="986"/>
      <c r="E72" s="986"/>
      <c r="F72" s="1063">
        <f>SUM('Uplink Budget'!B13:B18)+'Uplink Budget'!B22</f>
        <v>150.6883401356408</v>
      </c>
      <c r="G72" s="1064"/>
      <c r="H72" s="989"/>
      <c r="I72" s="985"/>
      <c r="J72" s="986"/>
      <c r="K72" s="986"/>
      <c r="L72" s="986"/>
      <c r="M72" s="986"/>
      <c r="N72" s="986"/>
      <c r="O72" s="986"/>
      <c r="P72" s="986"/>
      <c r="Q72" s="989"/>
    </row>
    <row r="73" spans="1:17">
      <c r="A73" s="985"/>
      <c r="B73" s="986"/>
      <c r="C73" s="986"/>
      <c r="D73" s="986"/>
      <c r="E73" s="986"/>
      <c r="F73" s="986"/>
      <c r="G73" s="986"/>
      <c r="H73" s="989"/>
      <c r="I73" s="985"/>
      <c r="J73" s="986"/>
      <c r="K73" s="986"/>
      <c r="L73" s="986"/>
      <c r="M73" s="986"/>
      <c r="N73" s="986"/>
      <c r="O73" s="986"/>
      <c r="P73" s="986"/>
      <c r="Q73" s="989"/>
    </row>
    <row r="74" spans="1:17" ht="13">
      <c r="A74" s="985"/>
      <c r="B74" s="986"/>
      <c r="C74" s="986"/>
      <c r="D74" s="986"/>
      <c r="E74" s="986"/>
      <c r="F74" s="1016" t="s">
        <v>1058</v>
      </c>
      <c r="G74" s="1032">
        <f>'Uplink Budget'!B11+30</f>
        <v>45.894465956639813</v>
      </c>
      <c r="H74" s="989"/>
      <c r="I74" s="985"/>
      <c r="J74" s="986"/>
      <c r="K74" s="986"/>
      <c r="L74" s="986"/>
      <c r="M74" s="986"/>
      <c r="N74" s="986"/>
      <c r="O74" s="986"/>
      <c r="P74" s="986"/>
      <c r="Q74" s="989"/>
    </row>
    <row r="75" spans="1:17">
      <c r="A75" s="985"/>
      <c r="B75" s="1055" t="str">
        <f>'Antenna Gain'!F11</f>
        <v>Crossed Yagi</v>
      </c>
      <c r="C75" s="1055"/>
      <c r="D75" s="986"/>
      <c r="E75" s="986"/>
      <c r="F75" s="986"/>
      <c r="G75" s="986"/>
      <c r="H75" s="989"/>
      <c r="I75" s="985"/>
      <c r="J75" s="986"/>
      <c r="K75" s="986"/>
      <c r="L75" s="986"/>
      <c r="M75" s="986"/>
      <c r="N75" s="986"/>
      <c r="O75" s="986"/>
      <c r="P75" s="986"/>
      <c r="Q75" s="989"/>
    </row>
    <row r="76" spans="1:17">
      <c r="A76" s="985"/>
      <c r="B76" s="986"/>
      <c r="C76" s="986"/>
      <c r="D76" s="986"/>
      <c r="E76" s="986"/>
      <c r="F76" s="991" t="s">
        <v>1059</v>
      </c>
      <c r="G76" s="1029">
        <f>'Uplink Budget'!B10</f>
        <v>15.5</v>
      </c>
      <c r="H76" s="989"/>
      <c r="I76" s="985"/>
      <c r="J76" s="986"/>
      <c r="K76" s="986"/>
      <c r="L76" s="986"/>
      <c r="M76" s="986"/>
      <c r="N76" s="991" t="s">
        <v>1006</v>
      </c>
      <c r="O76" s="1023">
        <f>Receivers!J146</f>
        <v>1556.7070106329561</v>
      </c>
      <c r="P76" s="986"/>
      <c r="Q76" s="989"/>
    </row>
    <row r="77" spans="1:17">
      <c r="A77" s="985"/>
      <c r="B77" s="986"/>
      <c r="C77" s="986"/>
      <c r="D77" s="986"/>
      <c r="E77" s="986"/>
      <c r="F77" s="1005" t="s">
        <v>60</v>
      </c>
      <c r="G77" s="1031" t="str">
        <f>'Antenna Gain'!K11</f>
        <v>RHCP</v>
      </c>
      <c r="H77" s="989"/>
      <c r="I77" s="985"/>
      <c r="J77" s="986"/>
      <c r="K77" s="986"/>
      <c r="L77" s="986"/>
      <c r="M77" s="986"/>
      <c r="N77" s="986"/>
      <c r="O77" s="986"/>
      <c r="P77" s="986"/>
      <c r="Q77" s="989"/>
    </row>
    <row r="78" spans="1:17">
      <c r="A78" s="985"/>
      <c r="B78" s="986"/>
      <c r="C78" s="986"/>
      <c r="D78" s="986"/>
      <c r="E78" s="986"/>
      <c r="F78" s="1005" t="s">
        <v>1049</v>
      </c>
      <c r="G78" s="1024">
        <f>'Antenna Pointing Losses'!F43</f>
        <v>5</v>
      </c>
      <c r="H78" s="989"/>
      <c r="I78" s="985"/>
      <c r="J78" s="986"/>
      <c r="K78" s="986"/>
      <c r="L78" s="986"/>
      <c r="M78" s="986"/>
      <c r="N78" s="986"/>
      <c r="O78" s="986"/>
      <c r="P78" s="986"/>
      <c r="Q78" s="989"/>
    </row>
    <row r="79" spans="1:17">
      <c r="A79" s="985"/>
      <c r="B79" s="986"/>
      <c r="C79" s="986"/>
      <c r="D79" s="986"/>
      <c r="E79" s="986"/>
      <c r="F79" s="986"/>
      <c r="G79" s="986"/>
      <c r="H79" s="989"/>
      <c r="I79" s="985"/>
      <c r="J79" s="986"/>
      <c r="K79" s="986"/>
      <c r="L79" s="986"/>
      <c r="M79" s="986"/>
      <c r="N79" s="986"/>
      <c r="O79" s="986"/>
      <c r="P79" s="986"/>
      <c r="Q79" s="989"/>
    </row>
    <row r="80" spans="1:17" ht="13">
      <c r="A80" s="985"/>
      <c r="B80" s="986"/>
      <c r="C80" s="986"/>
      <c r="D80" s="986"/>
      <c r="E80" s="1019" t="s">
        <v>876</v>
      </c>
      <c r="F80" s="986"/>
      <c r="G80" s="986"/>
      <c r="H80" s="989"/>
      <c r="I80" s="985"/>
      <c r="J80" s="986"/>
      <c r="K80" s="986"/>
      <c r="L80" s="986"/>
      <c r="M80" s="986"/>
      <c r="N80" s="986"/>
      <c r="O80" s="986"/>
      <c r="P80" s="986"/>
      <c r="Q80" s="989"/>
    </row>
    <row r="81" spans="1:17">
      <c r="A81" s="985"/>
      <c r="B81" s="986"/>
      <c r="C81" s="986"/>
      <c r="D81" s="986"/>
      <c r="E81" s="986"/>
      <c r="F81" s="986"/>
      <c r="G81" s="986"/>
      <c r="H81" s="989"/>
      <c r="I81" s="985"/>
      <c r="J81" s="986"/>
      <c r="K81" s="986"/>
      <c r="L81" s="986"/>
      <c r="M81" s="986"/>
      <c r="N81" s="1014" t="s">
        <v>1047</v>
      </c>
      <c r="O81" s="1018">
        <f>Receivers!J149</f>
        <v>559.16806325412506</v>
      </c>
      <c r="P81" s="986"/>
      <c r="Q81" s="989"/>
    </row>
    <row r="82" spans="1:17" ht="15.5">
      <c r="A82" s="985"/>
      <c r="B82" s="986"/>
      <c r="C82" s="986"/>
      <c r="D82" s="986"/>
      <c r="E82" s="986"/>
      <c r="F82" s="1016" t="s">
        <v>1036</v>
      </c>
      <c r="G82" s="1017">
        <f>Transmitters!I45+30</f>
        <v>30.394465956639813</v>
      </c>
      <c r="H82" s="989"/>
      <c r="I82" s="985"/>
      <c r="J82" s="986"/>
      <c r="K82" s="986"/>
      <c r="L82" s="986"/>
      <c r="M82" s="986"/>
      <c r="N82" s="986"/>
      <c r="O82" s="986"/>
      <c r="P82" s="986"/>
      <c r="Q82" s="989"/>
    </row>
    <row r="83" spans="1:17" ht="13">
      <c r="A83" s="985"/>
      <c r="B83" s="986"/>
      <c r="C83" s="986"/>
      <c r="D83" s="986"/>
      <c r="E83" s="986"/>
      <c r="F83" s="986"/>
      <c r="G83" s="986"/>
      <c r="H83" s="989"/>
      <c r="I83" s="985"/>
      <c r="J83" s="986"/>
      <c r="K83" s="986"/>
      <c r="L83" s="986"/>
      <c r="M83" s="986"/>
      <c r="N83" s="1014" t="s">
        <v>419</v>
      </c>
      <c r="O83" s="1015">
        <f>'Downlink Budget'!B26</f>
        <v>-12.15132358823846</v>
      </c>
      <c r="P83" s="986"/>
      <c r="Q83" s="989"/>
    </row>
    <row r="84" spans="1:17">
      <c r="A84" s="985"/>
      <c r="B84" s="986"/>
      <c r="C84" s="986"/>
      <c r="D84" s="986"/>
      <c r="E84" s="986"/>
      <c r="F84" s="991" t="s">
        <v>1046</v>
      </c>
      <c r="G84" s="1013">
        <f>Transmitters!I43</f>
        <v>2.6158340000000004</v>
      </c>
      <c r="H84" s="989"/>
      <c r="I84" s="985"/>
      <c r="J84" s="986"/>
      <c r="K84" s="986"/>
      <c r="L84" s="986"/>
      <c r="M84" s="986"/>
      <c r="N84" s="986"/>
      <c r="O84" s="986"/>
      <c r="P84" s="986"/>
      <c r="Q84" s="989"/>
    </row>
    <row r="85" spans="1:17">
      <c r="A85" s="985"/>
      <c r="B85" s="986"/>
      <c r="C85" s="986"/>
      <c r="D85" s="986"/>
      <c r="E85" s="986"/>
      <c r="F85" s="986"/>
      <c r="G85" s="986"/>
      <c r="H85" s="989"/>
      <c r="I85" s="985"/>
      <c r="J85" s="986"/>
      <c r="K85" s="986"/>
      <c r="L85" s="986"/>
      <c r="M85" s="986"/>
      <c r="N85" s="986"/>
      <c r="O85" s="986"/>
      <c r="P85" s="986"/>
      <c r="Q85" s="989"/>
    </row>
    <row r="86" spans="1:17">
      <c r="A86" s="985"/>
      <c r="B86" s="986"/>
      <c r="C86" s="986"/>
      <c r="D86" s="986"/>
      <c r="E86" s="986"/>
      <c r="F86" s="986"/>
      <c r="G86" s="986"/>
      <c r="H86" s="989"/>
      <c r="I86" s="985"/>
      <c r="J86" s="986"/>
      <c r="K86" s="986"/>
      <c r="L86" s="986"/>
      <c r="M86" s="986"/>
      <c r="N86" s="986"/>
      <c r="O86" s="986"/>
      <c r="P86" s="986"/>
      <c r="Q86" s="989"/>
    </row>
    <row r="87" spans="1:17" ht="15.5">
      <c r="A87" s="985"/>
      <c r="B87" s="986"/>
      <c r="C87" s="986"/>
      <c r="D87" s="986"/>
      <c r="E87" s="986"/>
      <c r="F87" s="991" t="s">
        <v>1035</v>
      </c>
      <c r="G87" s="1012">
        <f>Transmitters!I41</f>
        <v>0.54</v>
      </c>
      <c r="H87" s="989"/>
      <c r="I87" s="985"/>
      <c r="J87" s="986"/>
      <c r="K87" s="986"/>
      <c r="L87" s="986"/>
      <c r="M87" s="986"/>
      <c r="N87" s="986"/>
      <c r="O87" s="986"/>
      <c r="P87" s="986"/>
      <c r="Q87" s="989"/>
    </row>
    <row r="88" spans="1:17">
      <c r="A88" s="985"/>
      <c r="B88" s="986"/>
      <c r="C88" s="986"/>
      <c r="D88" s="986"/>
      <c r="E88" s="986"/>
      <c r="F88" s="986"/>
      <c r="G88" s="986"/>
      <c r="H88" s="989"/>
      <c r="I88" s="985"/>
      <c r="J88" s="986"/>
      <c r="K88" s="986"/>
      <c r="L88" s="986"/>
      <c r="M88" s="986"/>
      <c r="N88" s="991" t="s">
        <v>1060</v>
      </c>
      <c r="O88" s="1033">
        <f>'Downlink Budget'!B56</f>
        <v>75000</v>
      </c>
      <c r="P88" s="986"/>
      <c r="Q88" s="989"/>
    </row>
    <row r="89" spans="1:17">
      <c r="A89" s="985"/>
      <c r="B89" s="986"/>
      <c r="C89" s="986"/>
      <c r="D89" s="986"/>
      <c r="E89" s="986"/>
      <c r="F89" s="991" t="s">
        <v>1045</v>
      </c>
      <c r="G89" s="1012">
        <f>SUM(Transmitters!I37:I39)</f>
        <v>0.7</v>
      </c>
      <c r="H89" s="989"/>
      <c r="I89" s="985"/>
      <c r="J89" s="986"/>
      <c r="K89" s="986"/>
      <c r="L89" s="986"/>
      <c r="M89" s="986"/>
      <c r="N89" s="1056" t="s">
        <v>427</v>
      </c>
      <c r="O89" s="1056"/>
      <c r="P89" s="986"/>
      <c r="Q89" s="989"/>
    </row>
    <row r="90" spans="1:17">
      <c r="A90" s="985"/>
      <c r="B90" s="986"/>
      <c r="C90" s="986"/>
      <c r="D90" s="986"/>
      <c r="E90" s="986"/>
      <c r="F90" s="986"/>
      <c r="G90" s="986"/>
      <c r="H90" s="989"/>
      <c r="I90" s="985"/>
      <c r="J90" s="986"/>
      <c r="K90" s="986"/>
      <c r="L90" s="986"/>
      <c r="M90" s="986"/>
      <c r="N90" s="986"/>
      <c r="O90" s="986"/>
      <c r="P90" s="986"/>
      <c r="Q90" s="989"/>
    </row>
    <row r="91" spans="1:17">
      <c r="A91" s="985"/>
      <c r="B91" s="986"/>
      <c r="C91" s="986"/>
      <c r="D91" s="986"/>
      <c r="E91" s="986"/>
      <c r="F91" s="991" t="s">
        <v>1044</v>
      </c>
      <c r="G91" s="1012">
        <f>Transmitters!I36</f>
        <v>0.4</v>
      </c>
      <c r="H91" s="989"/>
      <c r="I91" s="985"/>
      <c r="J91" s="986"/>
      <c r="K91" s="986"/>
      <c r="L91" s="986"/>
      <c r="M91" s="986"/>
      <c r="N91" s="986"/>
      <c r="O91" s="986"/>
      <c r="P91" s="986"/>
      <c r="Q91" s="989"/>
    </row>
    <row r="92" spans="1:17">
      <c r="A92" s="985"/>
      <c r="B92" s="986"/>
      <c r="C92" s="986"/>
      <c r="D92" s="986"/>
      <c r="E92" s="986"/>
      <c r="F92" s="986"/>
      <c r="G92" s="986"/>
      <c r="H92" s="989"/>
      <c r="I92" s="985"/>
      <c r="J92" s="986"/>
      <c r="K92" s="986"/>
      <c r="L92" s="986"/>
      <c r="M92" s="986"/>
      <c r="N92" s="986"/>
      <c r="O92" s="986"/>
      <c r="P92" s="986"/>
      <c r="Q92" s="989"/>
    </row>
    <row r="93" spans="1:17">
      <c r="A93" s="985"/>
      <c r="B93" s="986"/>
      <c r="C93" s="986"/>
      <c r="D93" s="986"/>
      <c r="E93" s="986"/>
      <c r="F93" s="991" t="s">
        <v>1042</v>
      </c>
      <c r="G93" s="1010">
        <f>Transmitters!I32</f>
        <v>0.97583399999999998</v>
      </c>
      <c r="H93" s="989"/>
      <c r="I93" s="985"/>
      <c r="J93" s="986"/>
      <c r="K93" s="986"/>
      <c r="L93" s="986"/>
      <c r="M93" s="986"/>
      <c r="N93" s="1034" t="s">
        <v>422</v>
      </c>
      <c r="O93" s="1006">
        <f>'Downlink Budget'!B35</f>
        <v>1.0000000000000001E-5</v>
      </c>
      <c r="P93" s="986"/>
      <c r="Q93" s="989"/>
    </row>
    <row r="94" spans="1:17">
      <c r="A94" s="985"/>
      <c r="B94" s="986"/>
      <c r="C94" s="986"/>
      <c r="D94" s="986"/>
      <c r="E94" s="986"/>
      <c r="F94" s="986" t="s">
        <v>715</v>
      </c>
      <c r="G94" s="986"/>
      <c r="H94" s="989"/>
      <c r="I94" s="985"/>
      <c r="J94" s="986"/>
      <c r="K94" s="986"/>
      <c r="L94" s="986"/>
      <c r="M94" s="986"/>
      <c r="N94" s="1057" t="s">
        <v>1034</v>
      </c>
      <c r="O94" s="1058"/>
      <c r="P94" s="986"/>
      <c r="Q94" s="989"/>
    </row>
    <row r="95" spans="1:17">
      <c r="A95" s="985"/>
      <c r="B95" s="986"/>
      <c r="C95" s="986"/>
      <c r="D95" s="986"/>
      <c r="E95" s="986"/>
      <c r="F95" s="986" t="s">
        <v>715</v>
      </c>
      <c r="G95" s="986"/>
      <c r="H95" s="989"/>
      <c r="I95" s="985"/>
      <c r="J95" s="986"/>
      <c r="K95" s="986"/>
      <c r="L95" s="986"/>
      <c r="M95" s="986"/>
      <c r="N95" s="1061" t="str">
        <f>'Downlink Budget'!B32</f>
        <v>GMSK w/ BT=0.3</v>
      </c>
      <c r="O95" s="1062"/>
      <c r="P95" s="986"/>
      <c r="Q95" s="989"/>
    </row>
    <row r="96" spans="1:17">
      <c r="A96" s="985"/>
      <c r="B96" s="986"/>
      <c r="C96" s="986"/>
      <c r="D96" s="986"/>
      <c r="E96" s="986"/>
      <c r="F96" s="986" t="s">
        <v>715</v>
      </c>
      <c r="G96" s="986"/>
      <c r="H96" s="989"/>
      <c r="I96" s="985"/>
      <c r="J96" s="986"/>
      <c r="K96" s="986"/>
      <c r="L96" s="986"/>
      <c r="M96" s="986"/>
      <c r="N96" s="1035" t="s">
        <v>334</v>
      </c>
      <c r="O96" s="1009">
        <f>'Downlink Budget'!B41</f>
        <v>10.9</v>
      </c>
      <c r="P96" s="986"/>
      <c r="Q96" s="989"/>
    </row>
    <row r="97" spans="1:17">
      <c r="A97" s="985"/>
      <c r="B97" s="986"/>
      <c r="C97" s="986"/>
      <c r="D97" s="986"/>
      <c r="E97" s="986"/>
      <c r="F97" s="1016" t="s">
        <v>1064</v>
      </c>
      <c r="G97" s="1040">
        <f>Transmitters!E16</f>
        <v>2</v>
      </c>
      <c r="H97" s="989"/>
      <c r="I97" s="985"/>
      <c r="J97" s="986"/>
      <c r="K97" s="986"/>
      <c r="L97" s="986"/>
      <c r="M97" s="986"/>
      <c r="N97" s="986"/>
      <c r="O97" s="986"/>
      <c r="P97" s="986"/>
      <c r="Q97" s="989"/>
    </row>
    <row r="98" spans="1:17">
      <c r="A98" s="985"/>
      <c r="B98" s="986"/>
      <c r="C98" s="986"/>
      <c r="D98" s="986"/>
      <c r="E98" s="986"/>
      <c r="F98" s="986"/>
      <c r="G98" s="986"/>
      <c r="H98" s="989"/>
      <c r="I98" s="985"/>
      <c r="J98" s="986"/>
      <c r="K98" s="986"/>
      <c r="L98" s="986"/>
      <c r="M98" s="986"/>
      <c r="N98" s="986"/>
      <c r="O98" s="986"/>
      <c r="P98" s="986"/>
      <c r="Q98" s="989"/>
    </row>
    <row r="99" spans="1:17">
      <c r="A99" s="985"/>
      <c r="B99" s="986"/>
      <c r="C99" s="986"/>
      <c r="D99" s="986"/>
      <c r="E99" s="986"/>
      <c r="F99" s="986"/>
      <c r="G99" s="986"/>
      <c r="H99" s="989"/>
      <c r="I99" s="985"/>
      <c r="J99" s="986"/>
      <c r="K99" s="986"/>
      <c r="L99" s="986"/>
      <c r="M99" s="986"/>
      <c r="N99" s="986"/>
      <c r="O99" s="986"/>
      <c r="P99" s="986"/>
      <c r="Q99" s="989"/>
    </row>
    <row r="100" spans="1:17">
      <c r="A100" s="985"/>
      <c r="B100" s="986"/>
      <c r="C100" s="986"/>
      <c r="D100" s="986"/>
      <c r="E100" s="986"/>
      <c r="F100" s="986"/>
      <c r="G100" s="986"/>
      <c r="H100" s="989"/>
      <c r="I100" s="985"/>
      <c r="J100" s="986"/>
      <c r="K100" s="986"/>
      <c r="L100" s="986"/>
      <c r="M100" s="986"/>
      <c r="N100" s="1057" t="s">
        <v>1033</v>
      </c>
      <c r="O100" s="1058"/>
      <c r="P100" s="986"/>
      <c r="Q100" s="989"/>
    </row>
    <row r="101" spans="1:17">
      <c r="A101" s="985"/>
      <c r="B101" s="986"/>
      <c r="C101" s="986"/>
      <c r="D101" s="986"/>
      <c r="E101" s="986"/>
      <c r="F101" s="986"/>
      <c r="G101" s="986"/>
      <c r="H101" s="989"/>
      <c r="I101" s="985"/>
      <c r="J101" s="986"/>
      <c r="K101" s="986"/>
      <c r="L101" s="986"/>
      <c r="M101" s="986"/>
      <c r="N101" s="1061" t="str">
        <f>'Downlink Budget'!B33</f>
        <v>None</v>
      </c>
      <c r="O101" s="1062"/>
      <c r="P101" s="986"/>
      <c r="Q101" s="989"/>
    </row>
    <row r="102" spans="1:17">
      <c r="A102" s="985"/>
      <c r="B102" s="986"/>
      <c r="C102" s="986"/>
      <c r="D102" s="986"/>
      <c r="E102" s="986"/>
      <c r="F102" s="986"/>
      <c r="G102" s="986"/>
      <c r="H102" s="989"/>
      <c r="I102" s="985"/>
      <c r="J102" s="986"/>
      <c r="K102" s="986"/>
      <c r="L102" s="986"/>
      <c r="M102" s="986"/>
      <c r="N102" s="986"/>
      <c r="O102" s="986"/>
      <c r="P102" s="986"/>
      <c r="Q102" s="989"/>
    </row>
    <row r="103" spans="1:17">
      <c r="A103" s="985"/>
      <c r="B103" s="986"/>
      <c r="C103" s="986"/>
      <c r="D103" s="986"/>
      <c r="E103" s="986"/>
      <c r="F103" s="1057" t="s">
        <v>1030</v>
      </c>
      <c r="G103" s="1058"/>
      <c r="H103" s="989"/>
      <c r="I103" s="985"/>
      <c r="J103" s="986"/>
      <c r="K103" s="986"/>
      <c r="L103" s="986"/>
      <c r="M103" s="986"/>
      <c r="N103" s="986"/>
      <c r="O103" s="986"/>
      <c r="P103" s="986"/>
      <c r="Q103" s="989"/>
    </row>
    <row r="104" spans="1:17">
      <c r="A104" s="985"/>
      <c r="B104" s="986"/>
      <c r="C104" s="986"/>
      <c r="D104" s="986"/>
      <c r="E104" s="986"/>
      <c r="F104" s="1061" t="str">
        <f>'Uplink Budget'!B32</f>
        <v>GMSK w/ BT=0.3</v>
      </c>
      <c r="G104" s="1062"/>
      <c r="H104" s="989"/>
      <c r="I104" s="985"/>
      <c r="J104" s="986"/>
      <c r="K104" s="986"/>
      <c r="L104" s="986"/>
      <c r="M104" s="986"/>
      <c r="N104" s="986"/>
      <c r="O104" s="986"/>
      <c r="P104" s="986"/>
      <c r="Q104" s="989"/>
    </row>
    <row r="105" spans="1:17">
      <c r="A105" s="985"/>
      <c r="B105" s="986"/>
      <c r="C105" s="986"/>
      <c r="D105" s="986"/>
      <c r="E105" s="986"/>
      <c r="F105" s="986"/>
      <c r="G105" s="986"/>
      <c r="H105" s="989"/>
      <c r="I105" s="985"/>
      <c r="J105" s="986"/>
      <c r="K105" s="991" t="s">
        <v>1029</v>
      </c>
      <c r="L105" s="1033">
        <f>'Downlink Budget'!B28</f>
        <v>50000</v>
      </c>
      <c r="M105" s="986"/>
      <c r="N105" s="986"/>
      <c r="O105" s="986" t="s">
        <v>715</v>
      </c>
      <c r="P105" s="986" t="s">
        <v>715</v>
      </c>
      <c r="Q105" s="989"/>
    </row>
    <row r="106" spans="1:17" ht="13" thickBot="1">
      <c r="A106" s="985"/>
      <c r="B106" s="986"/>
      <c r="C106" s="986"/>
      <c r="D106" s="986"/>
      <c r="E106" s="986"/>
      <c r="F106" s="1057" t="s">
        <v>1032</v>
      </c>
      <c r="G106" s="1058"/>
      <c r="H106" s="989"/>
      <c r="I106" s="985"/>
      <c r="J106" s="986"/>
      <c r="K106" s="986"/>
      <c r="L106" s="986"/>
      <c r="M106" s="986"/>
      <c r="N106" s="986"/>
      <c r="O106" s="986"/>
      <c r="P106" s="986"/>
      <c r="Q106" s="989"/>
    </row>
    <row r="107" spans="1:17" ht="13.5" thickBot="1">
      <c r="A107" s="985"/>
      <c r="B107" s="986"/>
      <c r="C107" s="986"/>
      <c r="D107" s="986"/>
      <c r="E107" s="986"/>
      <c r="F107" s="1061" t="str">
        <f>'Uplink Budget'!B33</f>
        <v>None</v>
      </c>
      <c r="G107" s="1062"/>
      <c r="H107" s="989"/>
      <c r="I107" s="1059" t="s">
        <v>1061</v>
      </c>
      <c r="J107" s="1060"/>
      <c r="K107" s="991" t="s">
        <v>1062</v>
      </c>
      <c r="L107" s="992">
        <f>'Downlink Budget'!B30</f>
        <v>19.347076232760543</v>
      </c>
      <c r="M107" s="986"/>
      <c r="N107" s="1036" t="s">
        <v>418</v>
      </c>
      <c r="O107" s="994">
        <f>'Downlink Budget'!B43</f>
        <v>8.4470762327605424</v>
      </c>
      <c r="P107" s="995" t="str">
        <f>IF(O107&lt;0,"NO LINK !",IF(O107&lt;6,"MARGINAL LINK",IF(O107&gt;6,"LINK CLOSES")))</f>
        <v>LINK CLOSES</v>
      </c>
      <c r="Q107" s="989"/>
    </row>
    <row r="108" spans="1:17" ht="13" thickBot="1">
      <c r="A108" s="985"/>
      <c r="B108" s="986"/>
      <c r="C108" s="986"/>
      <c r="D108" s="986"/>
      <c r="E108" s="986"/>
      <c r="F108" s="986"/>
      <c r="G108" s="986"/>
      <c r="H108" s="989"/>
      <c r="I108" s="985"/>
      <c r="J108" s="986"/>
      <c r="K108" s="986"/>
      <c r="L108" s="986"/>
      <c r="M108" s="986"/>
      <c r="N108" s="986"/>
      <c r="O108" s="986"/>
      <c r="P108" s="986"/>
      <c r="Q108" s="989"/>
    </row>
    <row r="109" spans="1:17" ht="13.5" thickBot="1">
      <c r="A109" s="985"/>
      <c r="B109" s="986"/>
      <c r="C109" s="1027" t="s">
        <v>417</v>
      </c>
      <c r="D109" s="996">
        <f>'Uplink Budget'!B28</f>
        <v>100000</v>
      </c>
      <c r="E109" s="986"/>
      <c r="F109" s="986"/>
      <c r="G109" s="986"/>
      <c r="H109" s="989"/>
      <c r="I109" s="1059" t="s">
        <v>421</v>
      </c>
      <c r="J109" s="1060"/>
      <c r="K109" s="991" t="s">
        <v>1031</v>
      </c>
      <c r="L109" s="992">
        <f>'Downlink Budget'!B60</f>
        <v>17.586163642203701</v>
      </c>
      <c r="M109" s="986"/>
      <c r="N109" s="1036" t="s">
        <v>429</v>
      </c>
      <c r="O109" s="994">
        <f>'Downlink Budget'!B64</f>
        <v>6.6861636422037005</v>
      </c>
      <c r="P109" s="995" t="str">
        <f>IF(O109&lt;0,"NO LINK !",IF(O109&lt;6,"MARGINAL LINK",IF(O109&gt;6,"LINK CLOSES")))</f>
        <v>LINK CLOSES</v>
      </c>
      <c r="Q109" s="989"/>
    </row>
    <row r="110" spans="1:17">
      <c r="A110" s="985"/>
      <c r="B110" s="986"/>
      <c r="C110" s="986"/>
      <c r="D110" s="986"/>
      <c r="E110" s="986"/>
      <c r="F110" s="986"/>
      <c r="G110" s="986"/>
      <c r="H110" s="989"/>
      <c r="I110" s="985"/>
      <c r="J110" s="986"/>
      <c r="K110" s="986"/>
      <c r="L110" s="986"/>
      <c r="M110" s="986"/>
      <c r="N110" s="986"/>
      <c r="O110" s="986"/>
      <c r="P110" s="986"/>
      <c r="Q110" s="989"/>
    </row>
    <row r="111" spans="1:17" ht="12.5" customHeight="1">
      <c r="A111" s="985"/>
      <c r="B111" s="986"/>
      <c r="C111" s="986"/>
      <c r="D111" s="986"/>
      <c r="E111" s="986"/>
      <c r="F111" s="986"/>
      <c r="G111" s="986"/>
      <c r="H111" s="989"/>
      <c r="I111" s="986"/>
      <c r="J111" s="986"/>
      <c r="K111" s="986"/>
      <c r="L111" s="986"/>
      <c r="M111" s="986"/>
      <c r="N111" s="986"/>
      <c r="O111" s="986"/>
      <c r="P111" s="986"/>
      <c r="Q111" s="989"/>
    </row>
    <row r="112" spans="1:17" ht="12.5" customHeight="1">
      <c r="A112" s="985"/>
      <c r="B112" s="986"/>
      <c r="C112" s="986"/>
      <c r="D112" s="986"/>
      <c r="E112" s="986"/>
      <c r="F112" s="986"/>
      <c r="G112" s="986"/>
      <c r="H112" s="989"/>
      <c r="I112" s="986"/>
      <c r="J112" s="986"/>
      <c r="K112" s="986"/>
      <c r="L112" s="986"/>
      <c r="M112" s="986"/>
      <c r="N112" s="986"/>
      <c r="O112" s="986"/>
      <c r="P112" s="986"/>
      <c r="Q112" s="989"/>
    </row>
    <row r="113" spans="1:17">
      <c r="A113" s="985"/>
      <c r="B113" s="986"/>
      <c r="C113" s="986"/>
      <c r="D113" s="986"/>
      <c r="E113" s="986"/>
      <c r="F113" s="986"/>
      <c r="G113" s="986"/>
      <c r="H113" s="989"/>
      <c r="I113" s="986"/>
      <c r="J113" s="986"/>
      <c r="K113" s="986"/>
      <c r="L113" s="986"/>
      <c r="M113" s="986"/>
      <c r="N113" s="986"/>
      <c r="O113" s="986"/>
      <c r="P113" s="986"/>
      <c r="Q113" s="989"/>
    </row>
    <row r="114" spans="1:17">
      <c r="A114" s="985"/>
      <c r="B114" s="986"/>
      <c r="C114" s="986"/>
      <c r="D114" s="986"/>
      <c r="E114" s="986"/>
      <c r="F114" s="986"/>
      <c r="G114" s="986"/>
      <c r="H114" s="989"/>
      <c r="I114" s="986"/>
      <c r="J114" s="986"/>
      <c r="K114" s="986"/>
      <c r="L114" s="986"/>
      <c r="M114" s="986"/>
      <c r="N114" s="986"/>
      <c r="O114" s="986" t="s">
        <v>715</v>
      </c>
      <c r="P114" s="986"/>
      <c r="Q114" s="989"/>
    </row>
    <row r="115" spans="1:17" ht="13" thickBot="1">
      <c r="A115" s="1037"/>
      <c r="B115" s="1038"/>
      <c r="C115" s="1038"/>
      <c r="D115" s="1038"/>
      <c r="E115" s="1038"/>
      <c r="F115" s="1038"/>
      <c r="G115" s="1038"/>
      <c r="H115" s="1039"/>
      <c r="I115" s="1038"/>
      <c r="J115" s="1038"/>
      <c r="K115" s="1038"/>
      <c r="L115" s="1038"/>
      <c r="M115" s="1038"/>
      <c r="N115" s="1038"/>
      <c r="O115" s="1038"/>
      <c r="P115" s="1038"/>
      <c r="Q115" s="1039"/>
    </row>
  </sheetData>
  <mergeCells count="32">
    <mergeCell ref="N7:O7"/>
    <mergeCell ref="B2:C2"/>
    <mergeCell ref="J2:K2"/>
    <mergeCell ref="B3:C3"/>
    <mergeCell ref="J3:K3"/>
    <mergeCell ref="N6:O6"/>
    <mergeCell ref="F71:G71"/>
    <mergeCell ref="F72:G72"/>
    <mergeCell ref="B67:C67"/>
    <mergeCell ref="N9:O9"/>
    <mergeCell ref="N10:O10"/>
    <mergeCell ref="F13:G13"/>
    <mergeCell ref="F14:G14"/>
    <mergeCell ref="F19:G19"/>
    <mergeCell ref="F20:G20"/>
    <mergeCell ref="F26:G26"/>
    <mergeCell ref="J40:K40"/>
    <mergeCell ref="N44:O44"/>
    <mergeCell ref="N45:O45"/>
    <mergeCell ref="J49:K49"/>
    <mergeCell ref="B75:C75"/>
    <mergeCell ref="N89:O89"/>
    <mergeCell ref="N94:O94"/>
    <mergeCell ref="I109:J109"/>
    <mergeCell ref="N100:O100"/>
    <mergeCell ref="N101:O101"/>
    <mergeCell ref="F103:G103"/>
    <mergeCell ref="F104:G104"/>
    <mergeCell ref="F106:G106"/>
    <mergeCell ref="F107:G107"/>
    <mergeCell ref="I107:J107"/>
    <mergeCell ref="N95:O95"/>
  </mergeCells>
  <conditionalFormatting sqref="F5 F7">
    <cfRule type="cellIs" dxfId="5" priority="1" stopIfTrue="1" operator="lessThan">
      <formula>0</formula>
    </cfRule>
    <cfRule type="cellIs" dxfId="4" priority="2" stopIfTrue="1" operator="between">
      <formula>0.001</formula>
      <formula>6</formula>
    </cfRule>
    <cfRule type="cellIs" dxfId="3" priority="3" stopIfTrue="1" operator="greaterThan">
      <formula>6</formula>
    </cfRule>
  </conditionalFormatting>
  <conditionalFormatting sqref="O107 O109">
    <cfRule type="cellIs" dxfId="2" priority="4" stopIfTrue="1" operator="lessThan">
      <formula>0</formula>
    </cfRule>
    <cfRule type="cellIs" dxfId="1" priority="5" stopIfTrue="1" operator="between">
      <formula>0</formula>
      <formula>6</formula>
    </cfRule>
    <cfRule type="cellIs" dxfId="0" priority="6" stopIfTrue="1" operator="greaterThan">
      <formula>6.001</formula>
    </cfRule>
  </conditionalFormatting>
  <pageMargins left="1" right="1" top="0.5" bottom="0.5" header="0.5" footer="0.5"/>
  <pageSetup scale="49" orientation="portrait" r:id="rId1"/>
  <headerFooter alignWithMargins="0"/>
  <drawing r:id="rId2"/>
  <legacyDrawing r:id="rId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tabColor indexed="47"/>
  </sheetPr>
  <dimension ref="A1:AC300"/>
  <sheetViews>
    <sheetView topLeftCell="A79" zoomScale="120" zoomScaleNormal="120" workbookViewId="0">
      <selection activeCell="C112" sqref="C112"/>
    </sheetView>
  </sheetViews>
  <sheetFormatPr defaultColWidth="8.81640625" defaultRowHeight="12.5"/>
  <cols>
    <col min="1" max="1" width="20.1796875" customWidth="1"/>
    <col min="2" max="2" width="11" customWidth="1"/>
    <col min="3" max="3" width="27.1796875" customWidth="1"/>
    <col min="4" max="4" width="18.453125" customWidth="1"/>
    <col min="5" max="5" width="18.1796875" customWidth="1"/>
  </cols>
  <sheetData>
    <row r="1" spans="1:29" ht="18.5" thickBot="1">
      <c r="A1" s="125" t="s">
        <v>563</v>
      </c>
      <c r="B1" s="127"/>
      <c r="C1" s="127"/>
      <c r="D1" s="127"/>
      <c r="E1" s="127"/>
      <c r="F1" s="127"/>
      <c r="G1" s="127"/>
      <c r="H1" s="127"/>
      <c r="I1" s="127"/>
      <c r="J1" s="127"/>
      <c r="K1" s="127"/>
      <c r="L1" s="127"/>
      <c r="M1" s="127"/>
      <c r="N1" s="127"/>
      <c r="O1" s="127"/>
      <c r="P1" s="127"/>
      <c r="Q1" s="127"/>
      <c r="R1" s="127"/>
      <c r="S1" s="127"/>
      <c r="T1" s="127"/>
      <c r="U1" s="127"/>
      <c r="V1" s="127"/>
      <c r="W1" s="127"/>
      <c r="X1" s="127"/>
      <c r="Y1" s="127"/>
      <c r="Z1" s="127"/>
      <c r="AA1" s="127"/>
      <c r="AB1" s="127"/>
      <c r="AC1" s="127"/>
    </row>
    <row r="2" spans="1:29">
      <c r="A2" s="3"/>
      <c r="B2" s="3"/>
      <c r="C2" s="3"/>
      <c r="D2" s="3"/>
      <c r="E2" s="3"/>
      <c r="F2" s="3"/>
      <c r="G2" s="3"/>
      <c r="H2" s="3"/>
      <c r="I2" s="3"/>
      <c r="J2" s="3"/>
      <c r="K2" s="3"/>
      <c r="L2" s="3"/>
      <c r="M2" s="3"/>
      <c r="N2" s="3"/>
      <c r="O2" s="3"/>
      <c r="P2" s="3"/>
      <c r="Q2" s="3"/>
      <c r="R2" s="3"/>
      <c r="S2" s="3"/>
      <c r="T2" s="3"/>
      <c r="U2" s="3"/>
      <c r="V2" s="3"/>
      <c r="W2" s="3"/>
      <c r="X2" s="3"/>
      <c r="Y2" s="3"/>
      <c r="Z2" s="3"/>
      <c r="AA2" s="3"/>
      <c r="AB2" s="3"/>
      <c r="AC2" s="3"/>
    </row>
    <row r="3" spans="1:29">
      <c r="A3" s="3"/>
      <c r="B3" s="3"/>
      <c r="C3" s="3"/>
      <c r="D3" s="3"/>
      <c r="E3" s="3"/>
      <c r="F3" s="3"/>
      <c r="G3" s="3"/>
      <c r="H3" s="3"/>
      <c r="I3" s="3"/>
      <c r="J3" s="3"/>
      <c r="K3" s="3"/>
      <c r="L3" s="3"/>
      <c r="M3" s="3"/>
      <c r="N3" s="3"/>
      <c r="O3" s="3"/>
      <c r="P3" s="3"/>
      <c r="Q3" s="3"/>
      <c r="R3" s="3"/>
      <c r="S3" s="3"/>
      <c r="T3" s="3"/>
      <c r="U3" s="3"/>
      <c r="V3" s="3"/>
      <c r="W3" s="3"/>
      <c r="X3" s="3"/>
      <c r="Y3" s="3"/>
      <c r="Z3" s="3"/>
      <c r="AA3" s="3"/>
      <c r="AB3" s="3"/>
      <c r="AC3" s="3"/>
    </row>
    <row r="4" spans="1:29" ht="13">
      <c r="A4" s="544" t="s">
        <v>156</v>
      </c>
      <c r="B4" s="4"/>
      <c r="C4" s="3"/>
      <c r="D4" s="3" t="s">
        <v>715</v>
      </c>
      <c r="E4" s="3"/>
      <c r="F4" s="3"/>
      <c r="G4" s="3"/>
      <c r="H4" s="3"/>
      <c r="I4" s="3"/>
      <c r="J4" s="3"/>
      <c r="K4" s="3"/>
      <c r="L4" s="3"/>
      <c r="M4" s="3"/>
      <c r="N4" s="3"/>
      <c r="O4" s="3"/>
      <c r="P4" s="3"/>
      <c r="Q4" s="3"/>
      <c r="R4" s="3"/>
      <c r="S4" s="3"/>
      <c r="T4" s="3"/>
      <c r="U4" s="3"/>
      <c r="V4" s="3"/>
      <c r="W4" s="3"/>
      <c r="X4" s="3"/>
      <c r="Y4" s="3"/>
      <c r="Z4" s="3"/>
      <c r="AA4" s="3"/>
      <c r="AB4" s="3"/>
      <c r="AC4" s="3"/>
    </row>
    <row r="5" spans="1:29" ht="13">
      <c r="A5" s="455"/>
      <c r="B5" s="4"/>
      <c r="C5" s="3"/>
      <c r="D5" s="3"/>
      <c r="E5" s="3"/>
      <c r="F5" s="3"/>
      <c r="G5" s="3"/>
      <c r="H5" s="3"/>
      <c r="I5" s="3"/>
      <c r="J5" s="3"/>
      <c r="K5" s="3"/>
      <c r="L5" s="3"/>
      <c r="M5" s="3"/>
      <c r="N5" s="3"/>
      <c r="O5" s="3"/>
      <c r="P5" s="3"/>
      <c r="Q5" s="3"/>
      <c r="R5" s="3"/>
      <c r="S5" s="3"/>
      <c r="T5" s="3"/>
      <c r="U5" s="3"/>
      <c r="V5" s="3"/>
      <c r="W5" s="3"/>
      <c r="X5" s="3"/>
      <c r="Y5" s="3"/>
      <c r="Z5" s="3"/>
      <c r="AA5" s="3"/>
      <c r="AB5" s="3"/>
      <c r="AC5" s="3"/>
    </row>
    <row r="6" spans="1:29">
      <c r="A6" s="552" t="s">
        <v>597</v>
      </c>
      <c r="B6" s="3"/>
      <c r="C6" s="3"/>
      <c r="D6" s="3"/>
      <c r="E6" s="3"/>
      <c r="F6" s="3"/>
      <c r="G6" s="3"/>
      <c r="H6" s="3"/>
      <c r="I6" s="3"/>
      <c r="J6" s="3"/>
      <c r="K6" s="3"/>
      <c r="L6" s="3"/>
      <c r="M6" s="3"/>
      <c r="N6" s="3"/>
      <c r="O6" s="3"/>
      <c r="P6" s="3"/>
      <c r="Q6" s="3"/>
      <c r="R6" s="3"/>
      <c r="S6" s="3"/>
      <c r="T6" s="3"/>
      <c r="U6" s="3"/>
      <c r="V6" s="3"/>
      <c r="W6" s="3"/>
      <c r="X6" s="3"/>
      <c r="Y6" s="3"/>
      <c r="Z6" s="3"/>
      <c r="AA6" s="3"/>
      <c r="AB6" s="3"/>
      <c r="AC6" s="3"/>
    </row>
    <row r="7" spans="1:29">
      <c r="A7" s="3"/>
      <c r="B7" s="31"/>
      <c r="C7" s="3"/>
      <c r="D7" s="3"/>
      <c r="E7" s="3"/>
      <c r="F7" s="3"/>
      <c r="G7" s="3"/>
      <c r="H7" s="3"/>
      <c r="I7" s="3"/>
      <c r="J7" s="3"/>
      <c r="K7" s="3"/>
      <c r="L7" s="3"/>
      <c r="M7" s="3"/>
      <c r="N7" s="3"/>
      <c r="O7" s="3"/>
      <c r="P7" s="3"/>
      <c r="Q7" s="3"/>
      <c r="R7" s="3"/>
      <c r="S7" s="3"/>
      <c r="T7" s="3"/>
      <c r="U7" s="3"/>
      <c r="V7" s="3"/>
      <c r="W7" s="3"/>
      <c r="X7" s="3"/>
      <c r="Y7" s="3"/>
      <c r="Z7" s="3"/>
      <c r="AA7" s="3"/>
      <c r="AB7" s="3"/>
      <c r="AC7" s="3"/>
    </row>
    <row r="8" spans="1:29" ht="13" customHeight="1">
      <c r="A8" s="101"/>
      <c r="B8" s="542" t="s">
        <v>564</v>
      </c>
      <c r="C8" s="887" t="s">
        <v>934</v>
      </c>
      <c r="D8" s="546" t="s">
        <v>155</v>
      </c>
      <c r="E8" s="366" t="s">
        <v>715</v>
      </c>
      <c r="F8" s="418"/>
      <c r="G8" s="418"/>
      <c r="H8" s="418"/>
      <c r="I8" s="418"/>
      <c r="J8" s="418"/>
      <c r="K8" s="418"/>
      <c r="L8" s="418"/>
      <c r="M8" s="418"/>
      <c r="N8" s="3"/>
      <c r="O8" s="3"/>
      <c r="P8" s="3"/>
      <c r="Q8" s="3"/>
      <c r="R8" s="3"/>
      <c r="S8" s="3"/>
      <c r="T8" s="3"/>
      <c r="U8" s="3"/>
      <c r="V8" s="3"/>
      <c r="W8" s="3"/>
      <c r="X8" s="3"/>
      <c r="Y8" s="3"/>
      <c r="Z8" s="3"/>
      <c r="AA8" s="3"/>
      <c r="AB8" s="3"/>
      <c r="AC8" s="3"/>
    </row>
    <row r="9" spans="1:29">
      <c r="A9" s="3"/>
      <c r="B9" s="3"/>
      <c r="C9" s="31">
        <v>0</v>
      </c>
      <c r="D9" s="648">
        <f t="shared" ref="D9:D27" si="0">IF(C9&lt;100,5.15+10*LOG10(COS(RADIANS(90-C9))),"No Signal")</f>
        <v>-156.97841279011377</v>
      </c>
      <c r="E9" s="3"/>
      <c r="F9" s="418"/>
      <c r="G9" s="418"/>
      <c r="H9" s="418"/>
      <c r="I9" s="418"/>
      <c r="J9" s="418"/>
      <c r="K9" s="418"/>
      <c r="L9" s="418"/>
      <c r="M9" s="418"/>
      <c r="N9" s="3"/>
      <c r="O9" s="3"/>
      <c r="P9" s="3"/>
      <c r="Q9" s="3"/>
      <c r="R9" s="3"/>
      <c r="S9" s="3"/>
      <c r="T9" s="3"/>
      <c r="U9" s="3"/>
      <c r="V9" s="3"/>
      <c r="W9" s="3"/>
      <c r="X9" s="3"/>
      <c r="Y9" s="3"/>
      <c r="Z9" s="3"/>
      <c r="AA9" s="3"/>
      <c r="AB9" s="3"/>
      <c r="AC9" s="3"/>
    </row>
    <row r="10" spans="1:29">
      <c r="A10" s="3"/>
      <c r="B10" s="3"/>
      <c r="C10" s="31">
        <v>5</v>
      </c>
      <c r="D10" s="648">
        <f t="shared" si="0"/>
        <v>-5.4470399166987971</v>
      </c>
      <c r="E10" s="3"/>
      <c r="F10" s="418"/>
      <c r="G10" s="418"/>
      <c r="H10" s="418"/>
      <c r="I10" s="418"/>
      <c r="J10" s="418"/>
      <c r="K10" s="418"/>
      <c r="L10" s="418"/>
      <c r="M10" s="418"/>
      <c r="N10" s="3"/>
      <c r="O10" s="3"/>
      <c r="P10" s="3"/>
      <c r="Q10" s="3"/>
      <c r="R10" s="3"/>
      <c r="S10" s="3"/>
      <c r="T10" s="3"/>
      <c r="U10" s="3"/>
      <c r="V10" s="3"/>
      <c r="W10" s="3"/>
      <c r="X10" s="3"/>
      <c r="Y10" s="3"/>
      <c r="Z10" s="3"/>
      <c r="AA10" s="3"/>
      <c r="AB10" s="3"/>
      <c r="AC10" s="3"/>
    </row>
    <row r="11" spans="1:29">
      <c r="A11" s="3"/>
      <c r="B11" s="3"/>
      <c r="C11" s="31">
        <v>10</v>
      </c>
      <c r="D11" s="648">
        <f t="shared" si="0"/>
        <v>-2.4532976998839926</v>
      </c>
      <c r="E11" s="3"/>
      <c r="F11" s="418"/>
      <c r="G11" s="418"/>
      <c r="H11" s="418"/>
      <c r="I11" s="418"/>
      <c r="J11" s="418"/>
      <c r="K11" s="418"/>
      <c r="L11" s="418"/>
      <c r="M11" s="418"/>
      <c r="N11" s="3"/>
      <c r="O11" s="3"/>
      <c r="P11" s="3"/>
      <c r="Q11" s="3"/>
      <c r="R11" s="3"/>
      <c r="S11" s="3"/>
      <c r="T11" s="3"/>
      <c r="U11" s="3"/>
      <c r="V11" s="3"/>
      <c r="W11" s="3"/>
      <c r="X11" s="3"/>
      <c r="Y11" s="3"/>
      <c r="Z11" s="3"/>
      <c r="AA11" s="3"/>
      <c r="AB11" s="3"/>
      <c r="AC11" s="3"/>
    </row>
    <row r="12" spans="1:29">
      <c r="A12" s="3"/>
      <c r="B12" s="3"/>
      <c r="C12" s="31">
        <v>15</v>
      </c>
      <c r="D12" s="648">
        <f t="shared" si="0"/>
        <v>-0.72003769430660824</v>
      </c>
      <c r="E12" s="3"/>
      <c r="F12" s="418"/>
      <c r="G12" s="418"/>
      <c r="H12" s="418"/>
      <c r="I12" s="418"/>
      <c r="J12" s="418"/>
      <c r="K12" s="418"/>
      <c r="L12" s="418"/>
      <c r="M12" s="418"/>
      <c r="N12" s="3"/>
      <c r="O12" s="3"/>
      <c r="P12" s="3"/>
      <c r="Q12" s="3"/>
      <c r="R12" s="3"/>
      <c r="S12" s="3"/>
      <c r="T12" s="3"/>
      <c r="U12" s="3"/>
      <c r="V12" s="3"/>
      <c r="W12" s="3"/>
      <c r="X12" s="3"/>
      <c r="Y12" s="3"/>
      <c r="Z12" s="3"/>
      <c r="AA12" s="3"/>
      <c r="AB12" s="3"/>
      <c r="AC12" s="3"/>
    </row>
    <row r="13" spans="1:29">
      <c r="A13" s="3"/>
      <c r="B13" s="3"/>
      <c r="C13" s="31">
        <v>20</v>
      </c>
      <c r="D13" s="648">
        <f t="shared" si="0"/>
        <v>0.4905168464551739</v>
      </c>
      <c r="E13" s="3"/>
      <c r="F13" s="418"/>
      <c r="G13" s="418"/>
      <c r="H13" s="418"/>
      <c r="I13" s="418"/>
      <c r="J13" s="418"/>
      <c r="K13" s="418"/>
      <c r="L13" s="418"/>
      <c r="M13" s="418"/>
      <c r="N13" s="3"/>
      <c r="O13" s="3"/>
      <c r="P13" s="3"/>
      <c r="Q13" s="3"/>
      <c r="R13" s="3"/>
      <c r="S13" s="3"/>
      <c r="T13" s="3"/>
      <c r="U13" s="3"/>
      <c r="V13" s="3"/>
      <c r="W13" s="3"/>
      <c r="X13" s="3"/>
      <c r="Y13" s="3"/>
      <c r="Z13" s="3"/>
      <c r="AA13" s="3"/>
      <c r="AB13" s="3"/>
      <c r="AC13" s="3"/>
    </row>
    <row r="14" spans="1:29">
      <c r="A14" s="3"/>
      <c r="B14" s="3"/>
      <c r="C14" s="31">
        <v>25</v>
      </c>
      <c r="D14" s="648">
        <f t="shared" si="0"/>
        <v>1.409482594031398</v>
      </c>
      <c r="E14" s="3"/>
      <c r="F14" s="418"/>
      <c r="G14" s="418"/>
      <c r="H14" s="418"/>
      <c r="I14" s="418"/>
      <c r="J14" s="418"/>
      <c r="K14" s="418"/>
      <c r="L14" s="418"/>
      <c r="M14" s="418"/>
      <c r="N14" s="3"/>
      <c r="O14" s="3"/>
      <c r="P14" s="3"/>
      <c r="Q14" s="3"/>
      <c r="R14" s="3"/>
      <c r="S14" s="3"/>
      <c r="T14" s="3"/>
      <c r="U14" s="3"/>
      <c r="V14" s="3"/>
      <c r="W14" s="3"/>
      <c r="X14" s="3"/>
      <c r="Y14" s="3"/>
      <c r="Z14" s="3"/>
      <c r="AA14" s="3"/>
      <c r="AB14" s="3"/>
      <c r="AC14" s="3"/>
    </row>
    <row r="15" spans="1:29">
      <c r="A15" s="3"/>
      <c r="B15" s="3"/>
      <c r="C15" s="31">
        <v>30</v>
      </c>
      <c r="D15" s="648">
        <f t="shared" si="0"/>
        <v>2.1397000433601896</v>
      </c>
      <c r="E15" s="3"/>
      <c r="F15" s="418"/>
      <c r="G15" s="418"/>
      <c r="H15" s="418"/>
      <c r="I15" s="418"/>
      <c r="J15" s="418"/>
      <c r="K15" s="418"/>
      <c r="L15" s="418"/>
      <c r="M15" s="418"/>
      <c r="N15" s="3"/>
      <c r="O15" s="3"/>
      <c r="P15" s="3"/>
      <c r="Q15" s="3"/>
      <c r="R15" s="3"/>
      <c r="S15" s="3"/>
      <c r="T15" s="3"/>
      <c r="U15" s="3"/>
      <c r="V15" s="3"/>
      <c r="W15" s="3"/>
      <c r="X15" s="3"/>
      <c r="Y15" s="3"/>
      <c r="Z15" s="3"/>
      <c r="AA15" s="3"/>
      <c r="AB15" s="3"/>
      <c r="AC15" s="3"/>
    </row>
    <row r="16" spans="1:29">
      <c r="A16" s="3"/>
      <c r="B16" s="3"/>
      <c r="C16" s="31">
        <v>35</v>
      </c>
      <c r="D16" s="648">
        <f t="shared" si="0"/>
        <v>2.7359130135409742</v>
      </c>
      <c r="E16" s="3"/>
      <c r="F16" s="418"/>
      <c r="G16" s="418"/>
      <c r="H16" s="418"/>
      <c r="I16" s="418"/>
      <c r="J16" s="418"/>
      <c r="K16" s="418"/>
      <c r="L16" s="418"/>
      <c r="M16" s="418"/>
      <c r="N16" s="3"/>
      <c r="O16" s="3"/>
      <c r="P16" s="3"/>
      <c r="Q16" s="3"/>
      <c r="R16" s="3"/>
      <c r="S16" s="3"/>
      <c r="T16" s="3"/>
      <c r="U16" s="3"/>
      <c r="V16" s="3"/>
      <c r="W16" s="3"/>
      <c r="X16" s="3"/>
      <c r="Y16" s="3"/>
      <c r="Z16" s="3"/>
      <c r="AA16" s="3"/>
      <c r="AB16" s="3"/>
      <c r="AC16" s="3"/>
    </row>
    <row r="17" spans="1:29">
      <c r="A17" s="3"/>
      <c r="B17" s="3"/>
      <c r="C17" s="31">
        <v>40</v>
      </c>
      <c r="D17" s="648">
        <f t="shared" si="0"/>
        <v>3.2306749675243496</v>
      </c>
      <c r="E17" s="3"/>
      <c r="F17" s="418"/>
      <c r="G17" s="418"/>
      <c r="H17" s="418"/>
      <c r="I17" s="418"/>
      <c r="J17" s="418"/>
      <c r="K17" s="418"/>
      <c r="L17" s="418"/>
      <c r="M17" s="418"/>
      <c r="N17" s="3"/>
      <c r="O17" s="3"/>
      <c r="P17" s="3"/>
      <c r="Q17" s="3"/>
      <c r="R17" s="3"/>
      <c r="S17" s="3"/>
      <c r="T17" s="3"/>
      <c r="U17" s="3"/>
      <c r="V17" s="3"/>
      <c r="W17" s="3"/>
      <c r="X17" s="3"/>
      <c r="Y17" s="3"/>
      <c r="Z17" s="3"/>
      <c r="AA17" s="3"/>
      <c r="AB17" s="3"/>
      <c r="AC17" s="3"/>
    </row>
    <row r="18" spans="1:29">
      <c r="A18" s="3"/>
      <c r="B18" s="3"/>
      <c r="C18" s="31">
        <v>45</v>
      </c>
      <c r="D18" s="648">
        <f t="shared" si="0"/>
        <v>3.6448500216800945</v>
      </c>
      <c r="E18" s="3"/>
      <c r="F18" s="418"/>
      <c r="G18" s="418"/>
      <c r="H18" s="418"/>
      <c r="I18" s="418" t="s">
        <v>570</v>
      </c>
      <c r="J18" s="418"/>
      <c r="K18" s="418"/>
      <c r="L18" s="418"/>
      <c r="M18" s="418"/>
      <c r="N18" s="3"/>
      <c r="O18" s="3"/>
      <c r="P18" s="3"/>
      <c r="Q18" s="3"/>
      <c r="R18" s="3"/>
      <c r="S18" s="3"/>
      <c r="T18" s="3"/>
      <c r="U18" s="3"/>
      <c r="V18" s="3"/>
      <c r="W18" s="3"/>
      <c r="X18" s="3"/>
      <c r="Y18" s="3"/>
      <c r="Z18" s="3"/>
      <c r="AA18" s="3"/>
      <c r="AB18" s="3"/>
      <c r="AC18" s="3"/>
    </row>
    <row r="19" spans="1:29">
      <c r="A19" s="3"/>
      <c r="B19" s="3"/>
      <c r="C19" s="31">
        <v>50</v>
      </c>
      <c r="D19" s="648">
        <f t="shared" si="0"/>
        <v>3.9925396655351948</v>
      </c>
      <c r="E19" s="3"/>
      <c r="F19" s="418"/>
      <c r="G19" s="418"/>
      <c r="H19" s="418"/>
      <c r="I19" s="418"/>
      <c r="J19" s="418" t="s">
        <v>571</v>
      </c>
      <c r="K19" s="418"/>
      <c r="L19" s="418"/>
      <c r="M19" s="418"/>
      <c r="N19" s="3"/>
      <c r="O19" s="3"/>
      <c r="P19" s="3"/>
      <c r="Q19" s="3"/>
      <c r="R19" s="3"/>
      <c r="S19" s="3"/>
      <c r="T19" s="3"/>
      <c r="U19" s="3"/>
      <c r="V19" s="3"/>
      <c r="W19" s="3"/>
      <c r="X19" s="3"/>
      <c r="Y19" s="3"/>
      <c r="Z19" s="3"/>
      <c r="AA19" s="3"/>
      <c r="AB19" s="3"/>
      <c r="AC19" s="3"/>
    </row>
    <row r="20" spans="1:29">
      <c r="A20" s="3"/>
      <c r="B20" s="3"/>
      <c r="C20" s="31">
        <v>55</v>
      </c>
      <c r="D20" s="648">
        <f t="shared" si="0"/>
        <v>4.2836451942485798</v>
      </c>
      <c r="E20" s="3"/>
      <c r="F20" s="418"/>
      <c r="G20" s="418"/>
      <c r="H20" s="418"/>
      <c r="I20" s="418"/>
      <c r="J20" s="418"/>
      <c r="K20" s="418"/>
      <c r="L20" s="418"/>
      <c r="M20" s="418"/>
      <c r="N20" s="3"/>
      <c r="O20" s="3"/>
      <c r="P20" s="3"/>
      <c r="Q20" s="3"/>
      <c r="R20" s="3"/>
      <c r="S20" s="3"/>
      <c r="T20" s="3"/>
      <c r="U20" s="3"/>
      <c r="V20" s="3"/>
      <c r="W20" s="3"/>
      <c r="X20" s="3"/>
      <c r="Y20" s="3"/>
      <c r="Z20" s="3"/>
      <c r="AA20" s="3"/>
      <c r="AB20" s="3"/>
      <c r="AC20" s="3"/>
    </row>
    <row r="21" spans="1:29">
      <c r="A21" s="3"/>
      <c r="B21" s="3"/>
      <c r="C21" s="31">
        <v>60</v>
      </c>
      <c r="D21" s="648">
        <f t="shared" si="0"/>
        <v>4.5253063169585008</v>
      </c>
      <c r="E21" s="3" t="s">
        <v>715</v>
      </c>
      <c r="F21" s="418"/>
      <c r="G21" s="418"/>
      <c r="H21" s="418"/>
      <c r="I21" s="418"/>
      <c r="J21" s="418"/>
      <c r="K21" s="418"/>
      <c r="L21" s="418"/>
      <c r="M21" s="418"/>
      <c r="N21" s="3"/>
      <c r="O21" s="3"/>
      <c r="P21" s="3"/>
      <c r="Q21" s="3"/>
      <c r="R21" s="3"/>
      <c r="S21" s="3"/>
      <c r="T21" s="3"/>
      <c r="U21" s="3"/>
      <c r="V21" s="3"/>
      <c r="W21" s="3"/>
      <c r="X21" s="3"/>
      <c r="Y21" s="3"/>
      <c r="Z21" s="3"/>
      <c r="AA21" s="3"/>
      <c r="AB21" s="3"/>
      <c r="AC21" s="3"/>
    </row>
    <row r="22" spans="1:29">
      <c r="A22" s="3"/>
      <c r="B22" s="3"/>
      <c r="C22" s="31">
        <v>65</v>
      </c>
      <c r="D22" s="648">
        <f t="shared" si="0"/>
        <v>4.7227571148639855</v>
      </c>
      <c r="E22" s="3"/>
      <c r="F22" s="418"/>
      <c r="G22" s="418"/>
      <c r="H22" s="418"/>
      <c r="I22" s="418"/>
      <c r="J22" s="418"/>
      <c r="K22" s="418"/>
      <c r="L22" s="418"/>
      <c r="M22" s="418"/>
      <c r="N22" s="3"/>
      <c r="O22" s="3"/>
      <c r="P22" s="3"/>
      <c r="Q22" s="3"/>
      <c r="R22" s="3"/>
      <c r="S22" s="3"/>
      <c r="T22" s="3"/>
      <c r="U22" s="3"/>
      <c r="V22" s="3"/>
      <c r="W22" s="3"/>
      <c r="X22" s="3"/>
      <c r="Y22" s="3"/>
      <c r="Z22" s="3"/>
      <c r="AA22" s="3"/>
      <c r="AB22" s="3"/>
      <c r="AC22" s="3"/>
    </row>
    <row r="23" spans="1:29">
      <c r="A23" s="3"/>
      <c r="B23" s="3"/>
      <c r="C23" s="31">
        <v>70</v>
      </c>
      <c r="D23" s="648">
        <f t="shared" si="0"/>
        <v>4.8798581644293648</v>
      </c>
      <c r="E23" s="3"/>
      <c r="F23" s="418"/>
      <c r="G23" s="418"/>
      <c r="H23" s="418"/>
      <c r="I23" s="418"/>
      <c r="J23" s="418"/>
      <c r="K23" s="418"/>
      <c r="L23" s="418"/>
      <c r="M23" s="418"/>
      <c r="N23" s="3"/>
      <c r="O23" s="3"/>
      <c r="P23" s="3"/>
      <c r="Q23" s="3"/>
      <c r="R23" s="3"/>
      <c r="S23" s="3"/>
      <c r="T23" s="3"/>
      <c r="U23" s="3"/>
      <c r="V23" s="3"/>
      <c r="W23" s="3"/>
      <c r="X23" s="3"/>
      <c r="Y23" s="3"/>
      <c r="Z23" s="3"/>
      <c r="AA23" s="3"/>
      <c r="AB23" s="3"/>
      <c r="AC23" s="3"/>
    </row>
    <row r="24" spans="1:29">
      <c r="A24" s="3"/>
      <c r="B24" s="3"/>
      <c r="C24" s="31">
        <v>75</v>
      </c>
      <c r="D24" s="648">
        <f t="shared" si="0"/>
        <v>4.9994377810269857</v>
      </c>
      <c r="E24" s="3"/>
      <c r="F24" s="418"/>
      <c r="G24" s="418"/>
      <c r="H24" s="418"/>
      <c r="I24" s="418"/>
      <c r="J24" s="418"/>
      <c r="K24" s="418"/>
      <c r="L24" s="418"/>
      <c r="M24" s="418"/>
      <c r="N24" s="3"/>
      <c r="O24" s="3"/>
      <c r="P24" s="3"/>
      <c r="Q24" s="3"/>
      <c r="R24" s="3"/>
      <c r="S24" s="3"/>
      <c r="T24" s="3"/>
      <c r="U24" s="3"/>
      <c r="V24" s="3"/>
      <c r="W24" s="3"/>
      <c r="X24" s="3"/>
      <c r="Y24" s="3"/>
      <c r="Z24" s="3"/>
      <c r="AA24" s="3"/>
      <c r="AB24" s="3"/>
      <c r="AC24" s="3"/>
    </row>
    <row r="25" spans="1:29">
      <c r="A25" s="3"/>
      <c r="B25" s="3"/>
      <c r="C25" s="31">
        <v>80</v>
      </c>
      <c r="D25" s="648">
        <f t="shared" si="0"/>
        <v>5.0835145896993552</v>
      </c>
      <c r="E25" s="3"/>
      <c r="F25" s="418"/>
      <c r="G25" s="418"/>
      <c r="H25" s="418"/>
      <c r="I25" s="418"/>
      <c r="J25" s="418"/>
      <c r="K25" s="418"/>
      <c r="L25" s="418"/>
      <c r="M25" s="418"/>
      <c r="N25" s="3"/>
      <c r="O25" s="3"/>
      <c r="P25" s="3"/>
      <c r="Q25" s="3"/>
      <c r="R25" s="3"/>
      <c r="S25" s="3"/>
      <c r="T25" s="3"/>
      <c r="U25" s="3"/>
      <c r="V25" s="3"/>
      <c r="W25" s="3"/>
      <c r="X25" s="3"/>
      <c r="Y25" s="3"/>
      <c r="Z25" s="3"/>
      <c r="AA25" s="3"/>
      <c r="AB25" s="3"/>
      <c r="AC25" s="3"/>
    </row>
    <row r="26" spans="1:29">
      <c r="A26" s="3"/>
      <c r="B26" s="3"/>
      <c r="C26" s="31">
        <v>85</v>
      </c>
      <c r="D26" s="648">
        <f t="shared" si="0"/>
        <v>5.1334422601749914</v>
      </c>
      <c r="E26" s="3"/>
      <c r="F26" s="418"/>
      <c r="G26" s="418"/>
      <c r="H26" s="418"/>
      <c r="I26" s="418"/>
      <c r="J26" s="418"/>
      <c r="K26" s="418"/>
      <c r="L26" s="418"/>
      <c r="M26" s="418"/>
      <c r="N26" s="3"/>
      <c r="O26" s="3"/>
      <c r="P26" s="3"/>
      <c r="Q26" s="3"/>
      <c r="R26" s="3"/>
      <c r="S26" s="3"/>
      <c r="T26" s="3"/>
      <c r="U26" s="3"/>
      <c r="V26" s="3"/>
      <c r="W26" s="3"/>
      <c r="X26" s="3"/>
      <c r="Y26" s="3"/>
      <c r="Z26" s="3"/>
      <c r="AA26" s="3"/>
      <c r="AB26" s="3"/>
      <c r="AC26" s="3"/>
    </row>
    <row r="27" spans="1:29">
      <c r="A27" s="3"/>
      <c r="B27" s="3"/>
      <c r="C27" s="31">
        <v>90</v>
      </c>
      <c r="D27" s="648">
        <f t="shared" si="0"/>
        <v>5.15</v>
      </c>
      <c r="E27" s="3"/>
      <c r="F27" s="418"/>
      <c r="G27" s="418"/>
      <c r="H27" s="418"/>
      <c r="I27" s="418"/>
      <c r="J27" s="418"/>
      <c r="K27" s="418"/>
      <c r="L27" s="418"/>
      <c r="M27" s="418"/>
      <c r="N27" s="3"/>
      <c r="O27" s="3"/>
      <c r="P27" s="3"/>
      <c r="Q27" s="3"/>
      <c r="R27" s="3"/>
      <c r="S27" s="3"/>
      <c r="T27" s="3"/>
      <c r="U27" s="3"/>
      <c r="V27" s="3"/>
      <c r="W27" s="3"/>
      <c r="X27" s="3"/>
      <c r="Y27" s="3"/>
      <c r="Z27" s="3"/>
      <c r="AA27" s="3"/>
      <c r="AB27" s="3"/>
      <c r="AC27" s="3"/>
    </row>
    <row r="28" spans="1:29">
      <c r="A28" s="3"/>
      <c r="B28" s="3"/>
      <c r="C28" s="31">
        <v>92.5</v>
      </c>
      <c r="D28" s="648">
        <v>0</v>
      </c>
      <c r="E28" s="3"/>
      <c r="F28" s="418"/>
      <c r="G28" s="418"/>
      <c r="H28" s="418"/>
      <c r="I28" s="418"/>
      <c r="J28" s="418"/>
      <c r="K28" s="418"/>
      <c r="L28" s="418"/>
      <c r="M28" s="418"/>
      <c r="N28" s="3"/>
      <c r="O28" s="3"/>
      <c r="P28" s="3"/>
      <c r="Q28" s="3"/>
      <c r="R28" s="3"/>
      <c r="S28" s="3"/>
      <c r="T28" s="3"/>
      <c r="U28" s="3"/>
      <c r="V28" s="3"/>
      <c r="W28" s="3"/>
      <c r="X28" s="3"/>
      <c r="Y28" s="3"/>
      <c r="Z28" s="3"/>
      <c r="AA28" s="3"/>
      <c r="AB28" s="3"/>
      <c r="AC28" s="3"/>
    </row>
    <row r="29" spans="1:29">
      <c r="A29" s="3"/>
      <c r="B29" s="3"/>
      <c r="C29" s="31">
        <v>95</v>
      </c>
      <c r="D29" s="648">
        <v>-20</v>
      </c>
      <c r="E29" s="3"/>
      <c r="F29" s="418"/>
      <c r="G29" s="418"/>
      <c r="H29" s="418"/>
      <c r="I29" s="418"/>
      <c r="J29" s="418"/>
      <c r="K29" s="418"/>
      <c r="L29" s="418"/>
      <c r="M29" s="418"/>
      <c r="N29" s="3"/>
      <c r="O29" s="3"/>
      <c r="P29" s="3"/>
      <c r="Q29" s="3"/>
      <c r="R29" s="3"/>
      <c r="S29" s="3"/>
      <c r="T29" s="3"/>
      <c r="U29" s="3"/>
      <c r="V29" s="3"/>
      <c r="W29" s="3"/>
      <c r="X29" s="3"/>
      <c r="Y29" s="3"/>
      <c r="Z29" s="3"/>
      <c r="AA29" s="3"/>
      <c r="AB29" s="3"/>
      <c r="AC29" s="3"/>
    </row>
    <row r="30" spans="1:29">
      <c r="A30" s="3"/>
      <c r="B30" s="3"/>
      <c r="C30" s="31">
        <v>97.5</v>
      </c>
      <c r="D30" s="648">
        <v>-60</v>
      </c>
      <c r="E30" s="3"/>
      <c r="F30" s="418"/>
      <c r="G30" s="418"/>
      <c r="H30" s="418"/>
      <c r="I30" s="418"/>
      <c r="J30" s="418"/>
      <c r="K30" s="418"/>
      <c r="L30" s="418"/>
      <c r="M30" s="418"/>
      <c r="N30" s="3"/>
      <c r="O30" s="3"/>
      <c r="P30" s="3"/>
      <c r="Q30" s="3"/>
      <c r="R30" s="3"/>
      <c r="S30" s="3"/>
      <c r="T30" s="3"/>
      <c r="U30" s="3"/>
      <c r="V30" s="3"/>
      <c r="W30" s="3"/>
      <c r="X30" s="3"/>
      <c r="Y30" s="3"/>
      <c r="Z30" s="3"/>
      <c r="AA30" s="3"/>
      <c r="AB30" s="3"/>
      <c r="AC30" s="3"/>
    </row>
    <row r="31" spans="1:29">
      <c r="A31" s="3"/>
      <c r="B31" s="3"/>
      <c r="C31" s="31">
        <v>100</v>
      </c>
      <c r="D31" s="648">
        <v>-160</v>
      </c>
      <c r="E31" s="3"/>
      <c r="F31" s="418"/>
      <c r="G31" s="418"/>
      <c r="H31" s="418"/>
      <c r="I31" s="418"/>
      <c r="J31" s="418"/>
      <c r="K31" s="418"/>
      <c r="L31" s="418"/>
      <c r="M31" s="418"/>
      <c r="N31" s="3"/>
      <c r="O31" s="3"/>
      <c r="P31" s="3"/>
      <c r="Q31" s="3"/>
      <c r="R31" s="3"/>
      <c r="S31" s="3"/>
      <c r="T31" s="3"/>
      <c r="U31" s="3"/>
      <c r="V31" s="3"/>
      <c r="W31" s="3"/>
      <c r="X31" s="3"/>
      <c r="Y31" s="3"/>
      <c r="Z31" s="3"/>
      <c r="AA31" s="3"/>
      <c r="AB31" s="3"/>
      <c r="AC31" s="3"/>
    </row>
    <row r="32" spans="1:29">
      <c r="A32" s="3"/>
      <c r="B32" s="3"/>
      <c r="C32" s="31">
        <v>110</v>
      </c>
      <c r="D32" s="648" t="s">
        <v>252</v>
      </c>
      <c r="E32" s="3"/>
      <c r="F32" s="418"/>
      <c r="G32" s="418"/>
      <c r="H32" s="418"/>
      <c r="I32" s="418"/>
      <c r="J32" s="418"/>
      <c r="K32" s="418"/>
      <c r="L32" s="418"/>
      <c r="M32" s="418"/>
      <c r="N32" s="3"/>
      <c r="O32" s="3"/>
      <c r="P32" s="3"/>
      <c r="Q32" s="3"/>
      <c r="R32" s="3"/>
      <c r="S32" s="3"/>
      <c r="T32" s="3"/>
      <c r="U32" s="3"/>
      <c r="V32" s="3"/>
      <c r="W32" s="3"/>
      <c r="X32" s="3"/>
      <c r="Y32" s="3"/>
      <c r="Z32" s="3"/>
      <c r="AA32" s="3"/>
      <c r="AB32" s="3"/>
      <c r="AC32" s="3"/>
    </row>
    <row r="33" spans="1:29">
      <c r="A33" s="3"/>
      <c r="B33" s="3"/>
      <c r="C33" s="31"/>
      <c r="D33" s="648"/>
      <c r="E33" s="3"/>
      <c r="F33" s="418"/>
      <c r="G33" s="418"/>
      <c r="H33" s="418"/>
      <c r="I33" s="418"/>
      <c r="J33" s="418"/>
      <c r="K33" s="418"/>
      <c r="L33" s="418"/>
      <c r="M33" s="418"/>
      <c r="N33" s="3"/>
      <c r="O33" s="3"/>
      <c r="P33" s="3"/>
      <c r="Q33" s="3"/>
      <c r="R33" s="3"/>
      <c r="S33" s="3"/>
      <c r="T33" s="3"/>
      <c r="U33" s="3"/>
      <c r="V33" s="3"/>
      <c r="W33" s="3"/>
      <c r="X33" s="3"/>
      <c r="Y33" s="3"/>
      <c r="Z33" s="3"/>
      <c r="AA33" s="3"/>
      <c r="AB33" s="3"/>
      <c r="AC33" s="3"/>
    </row>
    <row r="34" spans="1:29">
      <c r="A34" s="3"/>
      <c r="B34" s="3"/>
      <c r="C34" s="31"/>
      <c r="D34" s="648"/>
      <c r="E34" s="3"/>
      <c r="F34" s="418"/>
      <c r="G34" s="418"/>
      <c r="H34" s="418"/>
      <c r="I34" s="418"/>
      <c r="J34" s="418"/>
      <c r="K34" s="418"/>
      <c r="L34" s="418"/>
      <c r="M34" s="418"/>
      <c r="N34" s="3"/>
      <c r="O34" s="3"/>
      <c r="P34" s="3"/>
      <c r="Q34" s="3"/>
      <c r="R34" s="3"/>
      <c r="S34" s="3"/>
      <c r="T34" s="3"/>
      <c r="U34" s="3"/>
      <c r="V34" s="3"/>
      <c r="W34" s="3"/>
      <c r="X34" s="3"/>
      <c r="Y34" s="3"/>
      <c r="Z34" s="3"/>
      <c r="AA34" s="3"/>
      <c r="AB34" s="3"/>
      <c r="AC34" s="3"/>
    </row>
    <row r="35" spans="1:29">
      <c r="A35" s="3"/>
      <c r="B35" s="3"/>
      <c r="C35" s="31"/>
      <c r="D35" s="648"/>
      <c r="E35" s="3"/>
      <c r="F35" s="101"/>
      <c r="G35" s="101"/>
      <c r="H35" s="101"/>
      <c r="I35" s="101"/>
      <c r="J35" s="101"/>
      <c r="K35" s="101"/>
      <c r="L35" s="101"/>
      <c r="M35" s="101"/>
      <c r="N35" s="3"/>
      <c r="O35" s="3"/>
      <c r="P35" s="3"/>
      <c r="Q35" s="3"/>
      <c r="R35" s="3"/>
      <c r="S35" s="3"/>
      <c r="T35" s="3"/>
      <c r="U35" s="3"/>
      <c r="V35" s="3"/>
      <c r="W35" s="3"/>
      <c r="X35" s="3"/>
      <c r="Y35" s="3"/>
      <c r="Z35" s="3"/>
      <c r="AA35" s="3"/>
      <c r="AB35" s="3"/>
      <c r="AC35" s="3"/>
    </row>
    <row r="36" spans="1:29" ht="13">
      <c r="A36" s="3"/>
      <c r="B36" s="3"/>
      <c r="C36" s="31"/>
      <c r="D36" s="648"/>
      <c r="E36" s="3"/>
      <c r="F36" s="101"/>
      <c r="G36" s="101"/>
      <c r="H36" s="101"/>
      <c r="I36" s="101"/>
      <c r="J36" s="101"/>
      <c r="K36" s="101"/>
      <c r="L36" s="455" t="s">
        <v>253</v>
      </c>
      <c r="M36" s="455"/>
      <c r="N36" s="3"/>
      <c r="O36" s="3"/>
      <c r="P36" s="3"/>
      <c r="Q36" s="3"/>
      <c r="R36" s="3"/>
      <c r="S36" s="3"/>
      <c r="T36" s="3"/>
      <c r="U36" s="3"/>
      <c r="V36" s="3"/>
      <c r="W36" s="3"/>
      <c r="X36" s="3"/>
      <c r="Y36" s="3"/>
      <c r="Z36" s="3"/>
      <c r="AA36" s="3"/>
      <c r="AB36" s="3"/>
      <c r="AC36" s="3"/>
    </row>
    <row r="37" spans="1:29">
      <c r="A37" s="3"/>
      <c r="B37" s="3"/>
      <c r="C37" s="31"/>
      <c r="D37" s="648"/>
      <c r="E37" s="3"/>
      <c r="F37" s="101"/>
      <c r="G37" s="101"/>
      <c r="H37" s="101"/>
      <c r="I37" s="101"/>
      <c r="J37" s="101"/>
      <c r="K37" s="101"/>
      <c r="L37" s="101"/>
      <c r="M37" s="101"/>
      <c r="N37" s="3"/>
      <c r="O37" s="3"/>
      <c r="P37" s="3"/>
      <c r="Q37" s="3"/>
      <c r="R37" s="3"/>
      <c r="S37" s="3"/>
      <c r="T37" s="3"/>
      <c r="U37" s="3"/>
      <c r="V37" s="3"/>
      <c r="W37" s="3"/>
      <c r="X37" s="3"/>
      <c r="Y37" s="3"/>
      <c r="Z37" s="3"/>
      <c r="AA37" s="3"/>
      <c r="AB37" s="3"/>
      <c r="AC37" s="3"/>
    </row>
    <row r="38" spans="1:29">
      <c r="A38" s="3"/>
      <c r="B38" s="3"/>
      <c r="C38" s="31"/>
      <c r="D38" s="648"/>
      <c r="E38" s="3"/>
      <c r="F38" s="3" t="s">
        <v>40</v>
      </c>
      <c r="G38" s="3"/>
      <c r="H38" s="3">
        <v>5.15</v>
      </c>
      <c r="I38" s="3" t="s">
        <v>36</v>
      </c>
      <c r="J38" s="3"/>
      <c r="K38" s="3"/>
      <c r="L38" s="3"/>
      <c r="M38" s="101"/>
      <c r="N38" s="3"/>
      <c r="O38" s="3"/>
      <c r="P38" s="3"/>
      <c r="Q38" s="3"/>
      <c r="R38" s="3"/>
      <c r="S38" s="3"/>
      <c r="T38" s="3"/>
      <c r="U38" s="3"/>
      <c r="V38" s="3"/>
      <c r="W38" s="3"/>
      <c r="X38" s="3"/>
      <c r="Y38" s="3"/>
      <c r="Z38" s="3"/>
      <c r="AA38" s="3"/>
      <c r="AB38" s="3"/>
      <c r="AC38" s="3"/>
    </row>
    <row r="39" spans="1:29">
      <c r="A39" s="3"/>
      <c r="B39" s="3"/>
      <c r="C39" s="31"/>
      <c r="D39" s="648"/>
      <c r="E39" s="3"/>
      <c r="F39" s="3"/>
      <c r="G39" s="3"/>
      <c r="H39" s="3"/>
      <c r="I39" s="3"/>
      <c r="J39" s="3"/>
      <c r="K39" s="3"/>
      <c r="L39" s="3"/>
      <c r="M39" s="101"/>
      <c r="N39" s="3"/>
      <c r="O39" s="3"/>
      <c r="P39" s="3"/>
      <c r="Q39" s="3"/>
      <c r="R39" s="3"/>
      <c r="S39" s="3"/>
      <c r="T39" s="3"/>
      <c r="U39" s="3"/>
      <c r="V39" s="3"/>
      <c r="W39" s="3"/>
      <c r="X39" s="3"/>
      <c r="Y39" s="3"/>
      <c r="Z39" s="3"/>
      <c r="AA39" s="3"/>
      <c r="AB39" s="3"/>
      <c r="AC39" s="3"/>
    </row>
    <row r="40" spans="1:29">
      <c r="A40" s="3"/>
      <c r="B40" s="3"/>
      <c r="C40" s="31"/>
      <c r="D40" s="648"/>
      <c r="E40" s="3"/>
      <c r="F40" s="3" t="s">
        <v>61</v>
      </c>
      <c r="G40" s="3"/>
      <c r="H40" s="3">
        <v>38.6</v>
      </c>
      <c r="I40" s="3" t="s">
        <v>724</v>
      </c>
      <c r="J40" s="3" t="s">
        <v>390</v>
      </c>
      <c r="K40" s="3"/>
      <c r="L40" s="3"/>
      <c r="M40" s="101"/>
      <c r="N40" s="3"/>
      <c r="O40" s="3"/>
      <c r="P40" s="3"/>
      <c r="Q40" s="3"/>
      <c r="R40" s="3"/>
      <c r="S40" s="3"/>
      <c r="T40" s="3"/>
      <c r="U40" s="3"/>
      <c r="V40" s="3"/>
      <c r="W40" s="3"/>
      <c r="X40" s="3"/>
      <c r="Y40" s="3"/>
      <c r="Z40" s="3"/>
      <c r="AA40" s="3"/>
      <c r="AB40" s="3"/>
      <c r="AC40" s="3"/>
    </row>
    <row r="41" spans="1:29">
      <c r="A41" s="3"/>
      <c r="B41" s="3"/>
      <c r="C41" s="31"/>
      <c r="D41" s="648"/>
      <c r="E41" s="3"/>
      <c r="F41" s="3"/>
      <c r="G41" s="3"/>
      <c r="H41" s="3"/>
      <c r="I41" s="3"/>
      <c r="J41" s="3"/>
      <c r="K41" s="3"/>
      <c r="L41" s="3"/>
      <c r="M41" s="101"/>
      <c r="N41" s="3"/>
      <c r="O41" s="3"/>
      <c r="P41" s="3"/>
      <c r="Q41" s="3"/>
      <c r="R41" s="3"/>
      <c r="S41" s="3"/>
      <c r="T41" s="3"/>
      <c r="U41" s="3"/>
      <c r="V41" s="3"/>
      <c r="W41" s="3"/>
      <c r="X41" s="3"/>
      <c r="Y41" s="3"/>
      <c r="Z41" s="3"/>
      <c r="AA41" s="3"/>
      <c r="AB41" s="3"/>
      <c r="AC41" s="3"/>
    </row>
    <row r="42" spans="1:29">
      <c r="A42" s="3"/>
      <c r="B42" s="3"/>
      <c r="C42" s="31"/>
      <c r="D42" s="648"/>
      <c r="E42" s="3"/>
      <c r="F42" s="3" t="s">
        <v>388</v>
      </c>
      <c r="G42" s="3"/>
      <c r="H42" s="492">
        <v>0</v>
      </c>
      <c r="I42" s="3" t="s">
        <v>724</v>
      </c>
      <c r="J42" s="3" t="s">
        <v>389</v>
      </c>
      <c r="K42" s="3"/>
      <c r="L42" s="3"/>
      <c r="M42" s="101"/>
      <c r="N42" s="3"/>
      <c r="O42" s="3"/>
      <c r="P42" s="3"/>
      <c r="Q42" s="3"/>
      <c r="R42" s="3"/>
      <c r="S42" s="3"/>
      <c r="T42" s="3"/>
      <c r="U42" s="3"/>
      <c r="V42" s="3"/>
      <c r="W42" s="3"/>
      <c r="X42" s="3"/>
      <c r="Y42" s="3"/>
      <c r="Z42" s="3"/>
      <c r="AA42" s="3"/>
      <c r="AB42" s="3"/>
      <c r="AC42" s="3"/>
    </row>
    <row r="43" spans="1:29">
      <c r="A43" s="3"/>
      <c r="B43" s="3"/>
      <c r="C43" s="31"/>
      <c r="D43" s="648"/>
      <c r="E43" s="3"/>
      <c r="F43" s="3"/>
      <c r="G43" s="3"/>
      <c r="H43" s="3"/>
      <c r="I43" s="3"/>
      <c r="J43" s="3"/>
      <c r="K43" s="3"/>
      <c r="L43" s="3"/>
      <c r="M43" s="101"/>
      <c r="N43" s="3"/>
      <c r="O43" s="3"/>
      <c r="P43" s="3"/>
      <c r="Q43" s="3"/>
      <c r="R43" s="3"/>
      <c r="S43" s="3"/>
      <c r="T43" s="3"/>
      <c r="U43" s="3"/>
      <c r="V43" s="3"/>
      <c r="W43" s="3"/>
      <c r="X43" s="3"/>
      <c r="Y43" s="3"/>
      <c r="Z43" s="3"/>
      <c r="AA43" s="3"/>
      <c r="AB43" s="3"/>
      <c r="AC43" s="3"/>
    </row>
    <row r="44" spans="1:29">
      <c r="A44" s="3"/>
      <c r="B44" s="3"/>
      <c r="C44" s="31" t="s">
        <v>715</v>
      </c>
      <c r="D44" s="406" t="s">
        <v>715</v>
      </c>
      <c r="E44" s="3"/>
      <c r="F44" s="3" t="s">
        <v>391</v>
      </c>
      <c r="G44" s="3"/>
      <c r="H44" s="3">
        <v>5.15</v>
      </c>
      <c r="I44" s="3" t="s">
        <v>36</v>
      </c>
      <c r="J44" s="3" t="s">
        <v>392</v>
      </c>
      <c r="K44" s="3"/>
      <c r="L44" s="3"/>
      <c r="M44" s="3"/>
      <c r="N44" s="3"/>
      <c r="O44" s="3"/>
      <c r="P44" s="3"/>
      <c r="Q44" s="3"/>
      <c r="R44" s="3"/>
      <c r="S44" s="3"/>
      <c r="T44" s="3"/>
      <c r="U44" s="3"/>
      <c r="V44" s="3"/>
      <c r="W44" s="3"/>
      <c r="X44" s="3"/>
      <c r="Y44" s="3"/>
      <c r="Z44" s="3"/>
      <c r="AA44" s="3"/>
      <c r="AB44" s="3"/>
      <c r="AC44" s="3"/>
    </row>
    <row r="45" spans="1:29">
      <c r="A45" s="3"/>
      <c r="B45" s="3"/>
      <c r="C45" s="101"/>
      <c r="D45" s="31"/>
      <c r="E45" s="3"/>
      <c r="F45" s="3"/>
      <c r="G45" s="3"/>
      <c r="H45" s="3"/>
      <c r="I45" s="3"/>
      <c r="J45" s="3"/>
      <c r="K45" s="3"/>
      <c r="L45" s="3"/>
      <c r="M45" s="3"/>
      <c r="N45" s="3"/>
      <c r="O45" s="3"/>
      <c r="P45" s="3"/>
      <c r="Q45" s="3"/>
      <c r="R45" s="3"/>
      <c r="S45" s="3"/>
      <c r="T45" s="3"/>
      <c r="U45" s="3"/>
      <c r="V45" s="3"/>
      <c r="W45" s="3"/>
      <c r="X45" s="3"/>
      <c r="Y45" s="3"/>
      <c r="Z45" s="3"/>
      <c r="AA45" s="3"/>
      <c r="AB45" s="3"/>
      <c r="AC45" s="3"/>
    </row>
    <row r="46" spans="1:29">
      <c r="A46" s="3"/>
      <c r="B46" s="31" t="s">
        <v>715</v>
      </c>
      <c r="C46" s="3"/>
      <c r="D46" s="3"/>
      <c r="E46" s="3"/>
      <c r="F46" s="3" t="s">
        <v>393</v>
      </c>
      <c r="G46" s="3"/>
      <c r="H46" s="492">
        <v>0</v>
      </c>
      <c r="I46" s="3" t="s">
        <v>724</v>
      </c>
      <c r="J46" s="3"/>
      <c r="K46" s="3"/>
      <c r="L46" s="3"/>
      <c r="M46" s="3"/>
      <c r="N46" s="3"/>
      <c r="O46" s="3"/>
      <c r="P46" s="3"/>
      <c r="Q46" s="3"/>
      <c r="R46" s="3"/>
      <c r="S46" s="3"/>
      <c r="T46" s="3"/>
      <c r="U46" s="3"/>
      <c r="V46" s="3"/>
      <c r="W46" s="3"/>
      <c r="X46" s="3"/>
      <c r="Y46" s="3"/>
      <c r="Z46" s="3"/>
      <c r="AA46" s="3"/>
      <c r="AB46" s="3"/>
      <c r="AC46" s="3"/>
    </row>
    <row r="47" spans="1:29">
      <c r="A47" s="3"/>
      <c r="B47" s="31"/>
      <c r="C47" s="3"/>
      <c r="D47" s="3"/>
      <c r="E47" s="3"/>
      <c r="F47" s="3" t="s">
        <v>715</v>
      </c>
      <c r="G47" s="3"/>
      <c r="H47" s="492"/>
      <c r="I47" s="3"/>
      <c r="J47" s="3"/>
      <c r="K47" s="3"/>
      <c r="L47" s="3"/>
      <c r="M47" s="3"/>
      <c r="N47" s="3"/>
      <c r="O47" s="3"/>
      <c r="P47" s="3"/>
      <c r="Q47" s="3"/>
      <c r="R47" s="3"/>
      <c r="S47" s="3"/>
      <c r="T47" s="3"/>
      <c r="U47" s="3"/>
      <c r="V47" s="3"/>
      <c r="W47" s="3"/>
      <c r="X47" s="3"/>
      <c r="Y47" s="3"/>
      <c r="Z47" s="3"/>
      <c r="AA47" s="3"/>
      <c r="AB47" s="3"/>
      <c r="AC47" s="3"/>
    </row>
    <row r="48" spans="1:29">
      <c r="A48" s="3"/>
      <c r="B48" s="31"/>
      <c r="C48" s="3"/>
      <c r="D48" s="3"/>
      <c r="E48" s="3"/>
      <c r="F48" s="3"/>
      <c r="G48" s="3"/>
      <c r="H48" s="492"/>
      <c r="I48" s="3"/>
      <c r="J48" s="3"/>
      <c r="K48" s="3"/>
      <c r="L48" s="3"/>
      <c r="M48" s="3"/>
      <c r="N48" s="3"/>
      <c r="O48" s="3"/>
      <c r="P48" s="3"/>
      <c r="Q48" s="3"/>
      <c r="R48" s="3"/>
      <c r="S48" s="3"/>
      <c r="T48" s="3"/>
      <c r="U48" s="3"/>
      <c r="V48" s="3"/>
      <c r="W48" s="3"/>
      <c r="X48" s="3"/>
      <c r="Y48" s="3"/>
      <c r="Z48" s="3"/>
      <c r="AA48" s="3"/>
      <c r="AB48" s="3"/>
      <c r="AC48" s="3"/>
    </row>
    <row r="49" spans="1:29">
      <c r="A49" s="3"/>
      <c r="B49" s="542" t="s">
        <v>565</v>
      </c>
      <c r="C49" s="887" t="s">
        <v>934</v>
      </c>
      <c r="D49" s="546" t="s">
        <v>155</v>
      </c>
      <c r="E49" s="366"/>
      <c r="F49" t="s">
        <v>715</v>
      </c>
      <c r="P49" s="3"/>
      <c r="Q49" s="3"/>
      <c r="R49" s="3"/>
      <c r="S49" s="3"/>
      <c r="T49" s="3"/>
      <c r="U49" s="3"/>
      <c r="V49" s="3"/>
      <c r="W49" s="3"/>
      <c r="X49" s="3"/>
      <c r="Y49" s="3"/>
      <c r="Z49" s="3"/>
      <c r="AA49" s="3"/>
      <c r="AB49" s="3"/>
      <c r="AC49" s="3"/>
    </row>
    <row r="50" spans="1:29">
      <c r="A50" s="3"/>
      <c r="B50" s="3"/>
      <c r="C50" s="79">
        <v>0</v>
      </c>
      <c r="D50" s="15">
        <f>2.15+10*LOG10(COS(RADIANS(C50)))</f>
        <v>2.15</v>
      </c>
      <c r="E50" s="3"/>
      <c r="P50" s="3"/>
      <c r="Q50" s="3"/>
      <c r="R50" s="3"/>
      <c r="S50" s="3"/>
      <c r="T50" s="3"/>
      <c r="U50" s="3"/>
      <c r="V50" s="3"/>
      <c r="W50" s="3"/>
      <c r="X50" s="3"/>
      <c r="Y50" s="3"/>
      <c r="Z50" s="3"/>
      <c r="AA50" s="3"/>
      <c r="AB50" s="3"/>
      <c r="AC50" s="3"/>
    </row>
    <row r="51" spans="1:29">
      <c r="A51" s="3"/>
      <c r="B51" s="3"/>
      <c r="C51" s="79">
        <f>C50+10</f>
        <v>10</v>
      </c>
      <c r="D51" s="15">
        <f t="shared" ref="D51:D60" si="1">2.15+10*LOG10(COS(RADIANS(C51)))</f>
        <v>2.0835145896993548</v>
      </c>
      <c r="E51" s="3"/>
      <c r="P51" s="3"/>
      <c r="Q51" s="3"/>
      <c r="R51" s="3"/>
      <c r="S51" s="3"/>
      <c r="T51" s="3"/>
      <c r="U51" s="3"/>
      <c r="V51" s="3"/>
      <c r="W51" s="3"/>
      <c r="X51" s="3"/>
      <c r="Y51" s="3"/>
      <c r="Z51" s="3"/>
      <c r="AA51" s="3"/>
      <c r="AB51" s="3"/>
      <c r="AC51" s="3"/>
    </row>
    <row r="52" spans="1:29">
      <c r="A52" s="3"/>
      <c r="B52" s="3"/>
      <c r="C52" s="79">
        <f t="shared" ref="C52:C94" si="2">C51+10</f>
        <v>20</v>
      </c>
      <c r="D52" s="15">
        <f t="shared" si="1"/>
        <v>1.8798581644293648</v>
      </c>
      <c r="E52" s="3"/>
      <c r="P52" s="3"/>
      <c r="Q52" s="3"/>
      <c r="R52" s="3"/>
      <c r="S52" s="3"/>
      <c r="T52" s="3"/>
      <c r="U52" s="3"/>
      <c r="V52" s="3"/>
      <c r="W52" s="3"/>
      <c r="X52" s="3"/>
      <c r="Y52" s="3"/>
      <c r="Z52" s="3"/>
      <c r="AA52" s="3"/>
      <c r="AB52" s="3"/>
      <c r="AC52" s="3"/>
    </row>
    <row r="53" spans="1:29">
      <c r="A53" s="3"/>
      <c r="B53" s="3"/>
      <c r="C53" s="79">
        <f t="shared" si="2"/>
        <v>30</v>
      </c>
      <c r="D53" s="15">
        <f t="shared" si="1"/>
        <v>1.5253063169585004</v>
      </c>
      <c r="E53" s="3"/>
      <c r="P53" s="3"/>
      <c r="Q53" s="3"/>
      <c r="R53" s="3"/>
      <c r="S53" s="3"/>
      <c r="T53" s="3"/>
      <c r="U53" s="3"/>
      <c r="V53" s="3"/>
      <c r="W53" s="3"/>
      <c r="X53" s="3"/>
      <c r="Y53" s="3"/>
      <c r="Z53" s="3"/>
      <c r="AA53" s="3"/>
      <c r="AB53" s="3"/>
      <c r="AC53" s="3"/>
    </row>
    <row r="54" spans="1:29">
      <c r="A54" s="3"/>
      <c r="B54" s="3"/>
      <c r="C54" s="79">
        <f t="shared" si="2"/>
        <v>40</v>
      </c>
      <c r="D54" s="15">
        <f t="shared" si="1"/>
        <v>0.99253966553519413</v>
      </c>
      <c r="E54" s="3"/>
      <c r="P54" s="3"/>
      <c r="Q54" s="3"/>
      <c r="R54" s="3"/>
      <c r="S54" s="3"/>
      <c r="T54" s="3"/>
      <c r="U54" s="3"/>
      <c r="V54" s="3"/>
      <c r="W54" s="3"/>
      <c r="X54" s="3"/>
      <c r="Y54" s="3"/>
      <c r="Z54" s="3"/>
      <c r="AA54" s="3"/>
      <c r="AB54" s="3"/>
      <c r="AC54" s="3"/>
    </row>
    <row r="55" spans="1:29">
      <c r="A55" s="3"/>
      <c r="B55" s="3" t="s">
        <v>715</v>
      </c>
      <c r="C55" s="79">
        <f t="shared" si="2"/>
        <v>50</v>
      </c>
      <c r="D55" s="15">
        <f t="shared" si="1"/>
        <v>0.23067496752434913</v>
      </c>
      <c r="E55" s="3"/>
      <c r="P55" s="3"/>
      <c r="Q55" s="3"/>
      <c r="R55" s="3"/>
      <c r="S55" s="3"/>
      <c r="T55" s="3"/>
      <c r="U55" s="3"/>
      <c r="V55" s="3"/>
      <c r="W55" s="3"/>
      <c r="X55" s="3"/>
      <c r="Y55" s="3"/>
      <c r="Z55" s="3"/>
      <c r="AA55" s="3"/>
      <c r="AB55" s="3"/>
      <c r="AC55" s="3"/>
    </row>
    <row r="56" spans="1:29">
      <c r="A56" s="3"/>
      <c r="B56" s="3"/>
      <c r="C56" s="79">
        <f t="shared" si="2"/>
        <v>60</v>
      </c>
      <c r="D56" s="15">
        <f t="shared" si="1"/>
        <v>-0.86029995663981085</v>
      </c>
      <c r="E56" s="3"/>
      <c r="P56" s="3"/>
      <c r="Q56" s="3"/>
      <c r="R56" s="3"/>
      <c r="S56" s="3"/>
      <c r="T56" s="3"/>
      <c r="U56" s="3"/>
      <c r="V56" s="3"/>
      <c r="W56" s="3"/>
      <c r="X56" s="3"/>
      <c r="Y56" s="3"/>
      <c r="Z56" s="3"/>
      <c r="AA56" s="3"/>
      <c r="AB56" s="3"/>
      <c r="AC56" s="3"/>
    </row>
    <row r="57" spans="1:29">
      <c r="A57" s="3"/>
      <c r="B57" s="3"/>
      <c r="C57" s="79">
        <f t="shared" si="2"/>
        <v>70</v>
      </c>
      <c r="D57" s="15">
        <f t="shared" si="1"/>
        <v>-2.5094831535448265</v>
      </c>
      <c r="E57" s="3"/>
      <c r="P57" s="3"/>
      <c r="Q57" s="3"/>
      <c r="R57" s="3"/>
      <c r="S57" s="3"/>
      <c r="T57" s="3"/>
      <c r="U57" s="3"/>
      <c r="V57" s="3"/>
      <c r="W57" s="3"/>
      <c r="X57" s="3"/>
      <c r="Y57" s="3"/>
      <c r="Z57" s="3"/>
      <c r="AA57" s="3"/>
      <c r="AB57" s="3"/>
      <c r="AC57" s="3"/>
    </row>
    <row r="58" spans="1:29">
      <c r="A58" s="3"/>
      <c r="B58" s="3"/>
      <c r="C58" s="79">
        <f t="shared" si="2"/>
        <v>80</v>
      </c>
      <c r="D58" s="15">
        <f t="shared" si="1"/>
        <v>-5.4532976998839935</v>
      </c>
      <c r="E58" s="3" t="s">
        <v>715</v>
      </c>
      <c r="P58" s="3"/>
      <c r="Q58" s="3"/>
      <c r="R58" s="3"/>
      <c r="S58" s="3"/>
      <c r="T58" s="3"/>
      <c r="U58" s="3"/>
      <c r="V58" s="3"/>
      <c r="W58" s="3"/>
      <c r="X58" s="3"/>
      <c r="Y58" s="3"/>
      <c r="Z58" s="3"/>
      <c r="AA58" s="3"/>
      <c r="AB58" s="3"/>
      <c r="AC58" s="3"/>
    </row>
    <row r="59" spans="1:29">
      <c r="A59" s="3"/>
      <c r="B59" s="3"/>
      <c r="C59" s="79">
        <v>85</v>
      </c>
      <c r="D59" s="15">
        <f t="shared" si="1"/>
        <v>-8.4470399166987971</v>
      </c>
      <c r="E59" s="3"/>
      <c r="P59" s="3"/>
      <c r="Q59" s="3"/>
      <c r="R59" s="3"/>
      <c r="S59" s="3"/>
      <c r="T59" s="3"/>
      <c r="U59" s="3"/>
      <c r="V59" s="3"/>
      <c r="W59" s="3"/>
      <c r="X59" s="3"/>
      <c r="Y59" s="3"/>
      <c r="Z59" s="3"/>
      <c r="AA59" s="3"/>
      <c r="AB59" s="3"/>
      <c r="AC59" s="3"/>
    </row>
    <row r="60" spans="1:29">
      <c r="A60" s="3"/>
      <c r="B60" s="3"/>
      <c r="C60" s="79">
        <v>87.5</v>
      </c>
      <c r="D60" s="15">
        <f t="shared" si="1"/>
        <v>-11.453204383841507</v>
      </c>
      <c r="E60" s="3"/>
      <c r="P60" s="3"/>
      <c r="Q60" s="3"/>
      <c r="R60" s="3"/>
      <c r="S60" s="3"/>
      <c r="T60" s="3"/>
      <c r="U60" s="3"/>
      <c r="V60" s="3"/>
      <c r="W60" s="3"/>
      <c r="X60" s="3"/>
      <c r="Y60" s="3"/>
      <c r="Z60" s="3"/>
      <c r="AA60" s="3"/>
      <c r="AB60" s="3"/>
      <c r="AC60" s="3"/>
    </row>
    <row r="61" spans="1:29">
      <c r="A61" s="3"/>
      <c r="B61" s="3"/>
      <c r="C61" s="79">
        <f>C58+10</f>
        <v>90</v>
      </c>
      <c r="D61" s="15">
        <v>-40</v>
      </c>
      <c r="E61" s="3"/>
      <c r="P61" s="3"/>
      <c r="Q61" s="3"/>
      <c r="R61" s="3"/>
      <c r="S61" s="3"/>
      <c r="T61" s="3"/>
      <c r="U61" s="3"/>
      <c r="V61" s="3"/>
      <c r="W61" s="3"/>
      <c r="X61" s="3"/>
      <c r="Y61" s="3"/>
      <c r="Z61" s="3"/>
      <c r="AA61" s="3"/>
      <c r="AB61" s="3"/>
      <c r="AC61" s="3"/>
    </row>
    <row r="62" spans="1:29">
      <c r="A62" s="3"/>
      <c r="B62" s="3"/>
      <c r="C62" s="79">
        <v>92.5</v>
      </c>
      <c r="D62" s="15">
        <f>2.15+10*LOG10(-COS(RADIANS(C62)))</f>
        <v>-11.453204383841518</v>
      </c>
      <c r="E62" s="3"/>
      <c r="P62" s="3"/>
      <c r="Q62" s="3"/>
      <c r="R62" s="3"/>
      <c r="S62" s="3"/>
      <c r="T62" s="3"/>
      <c r="U62" s="3"/>
      <c r="V62" s="3"/>
      <c r="W62" s="3"/>
      <c r="X62" s="3"/>
      <c r="Y62" s="3"/>
      <c r="Z62" s="3"/>
      <c r="AA62" s="3"/>
      <c r="AB62" s="3"/>
      <c r="AC62" s="3"/>
    </row>
    <row r="63" spans="1:29">
      <c r="A63" s="3"/>
      <c r="B63" s="3"/>
      <c r="C63" s="79">
        <v>95</v>
      </c>
      <c r="D63" s="15">
        <f>2.15+10*LOG10(-COS(RADIANS(C63)))</f>
        <v>-8.4470399166987935</v>
      </c>
      <c r="E63" s="3" t="s">
        <v>715</v>
      </c>
      <c r="P63" s="3"/>
      <c r="Q63" s="3"/>
      <c r="R63" s="3"/>
      <c r="S63" s="3"/>
      <c r="T63" s="3"/>
      <c r="U63" s="3"/>
      <c r="V63" s="3"/>
      <c r="W63" s="3"/>
      <c r="X63" s="3"/>
      <c r="Y63" s="3"/>
      <c r="Z63" s="3"/>
      <c r="AA63" s="3"/>
      <c r="AB63" s="3"/>
      <c r="AC63" s="3"/>
    </row>
    <row r="64" spans="1:29">
      <c r="A64" s="3"/>
      <c r="B64" s="3"/>
      <c r="C64" s="79">
        <f>C61+10</f>
        <v>100</v>
      </c>
      <c r="D64" s="15">
        <f>2.15+10*LOG10(-COS(RADIANS(C64)))</f>
        <v>-5.453297699883997</v>
      </c>
      <c r="E64" s="3"/>
      <c r="P64" s="3"/>
      <c r="Q64" s="3"/>
      <c r="R64" s="3"/>
      <c r="S64" s="3"/>
      <c r="T64" s="3"/>
      <c r="U64" s="3"/>
      <c r="V64" s="3"/>
      <c r="W64" s="3"/>
      <c r="X64" s="3"/>
      <c r="Y64" s="3"/>
      <c r="Z64" s="3"/>
      <c r="AA64" s="3"/>
      <c r="AB64" s="3"/>
      <c r="AC64" s="3"/>
    </row>
    <row r="65" spans="1:29">
      <c r="A65" s="3"/>
      <c r="B65" s="3"/>
      <c r="C65" s="79">
        <f t="shared" si="2"/>
        <v>110</v>
      </c>
      <c r="D65" s="15">
        <f t="shared" ref="D65:D82" si="3">2.15+10*LOG10(-COS(RADIANS(C65)))</f>
        <v>-2.5094831535448283</v>
      </c>
      <c r="E65" s="3"/>
      <c r="P65" s="3"/>
      <c r="Q65" s="3"/>
      <c r="R65" s="3"/>
      <c r="S65" s="3"/>
      <c r="T65" s="3"/>
      <c r="U65" s="3"/>
      <c r="V65" s="3"/>
      <c r="W65" s="3"/>
      <c r="X65" s="3"/>
      <c r="Y65" s="3"/>
      <c r="Z65" s="3"/>
      <c r="AA65" s="3"/>
      <c r="AB65" s="3"/>
      <c r="AC65" s="3"/>
    </row>
    <row r="66" spans="1:29">
      <c r="A66" s="3"/>
      <c r="B66" s="3"/>
      <c r="C66" s="79">
        <f t="shared" si="2"/>
        <v>120</v>
      </c>
      <c r="D66" s="15">
        <f t="shared" si="3"/>
        <v>-0.86029995663981351</v>
      </c>
      <c r="E66" s="3"/>
      <c r="P66" s="3"/>
      <c r="Q66" s="3"/>
      <c r="R66" s="3"/>
      <c r="S66" s="3"/>
      <c r="T66" s="3"/>
      <c r="U66" s="3"/>
      <c r="V66" s="3"/>
      <c r="W66" s="3"/>
      <c r="X66" s="3"/>
      <c r="Y66" s="3"/>
      <c r="Z66" s="3"/>
      <c r="AA66" s="3"/>
      <c r="AB66" s="3"/>
      <c r="AC66" s="3"/>
    </row>
    <row r="67" spans="1:29">
      <c r="A67" s="3"/>
      <c r="B67" s="3"/>
      <c r="C67" s="79">
        <f t="shared" si="2"/>
        <v>130</v>
      </c>
      <c r="D67" s="15">
        <f t="shared" si="3"/>
        <v>0.23067496752434913</v>
      </c>
      <c r="E67" s="3"/>
      <c r="P67" s="3"/>
      <c r="Q67" s="3"/>
      <c r="R67" s="3"/>
      <c r="S67" s="3"/>
      <c r="T67" s="3"/>
      <c r="U67" s="3"/>
      <c r="V67" s="3"/>
      <c r="W67" s="3"/>
      <c r="X67" s="3"/>
      <c r="Y67" s="3"/>
      <c r="Z67" s="3"/>
      <c r="AA67" s="3"/>
      <c r="AB67" s="3"/>
      <c r="AC67" s="3"/>
    </row>
    <row r="68" spans="1:29">
      <c r="A68" s="3"/>
      <c r="B68" s="3"/>
      <c r="C68" s="79">
        <f t="shared" si="2"/>
        <v>140</v>
      </c>
      <c r="D68" s="15">
        <f t="shared" si="3"/>
        <v>0.99253966553519346</v>
      </c>
      <c r="E68" s="3"/>
      <c r="P68" s="3"/>
      <c r="Q68" s="3"/>
      <c r="R68" s="3"/>
      <c r="S68" s="3"/>
      <c r="T68" s="3"/>
      <c r="U68" s="3"/>
      <c r="V68" s="3"/>
      <c r="W68" s="3"/>
      <c r="X68" s="3"/>
      <c r="Y68" s="3"/>
      <c r="Z68" s="3"/>
      <c r="AA68" s="3"/>
      <c r="AB68" s="3"/>
      <c r="AC68" s="3"/>
    </row>
    <row r="69" spans="1:29">
      <c r="A69" s="3"/>
      <c r="B69" s="3"/>
      <c r="C69" s="79">
        <f t="shared" si="2"/>
        <v>150</v>
      </c>
      <c r="D69" s="15">
        <f t="shared" si="3"/>
        <v>1.5253063169585004</v>
      </c>
      <c r="E69" s="3"/>
      <c r="P69" s="3"/>
      <c r="Q69" s="3"/>
      <c r="R69" s="3"/>
      <c r="S69" s="3"/>
      <c r="T69" s="3"/>
      <c r="U69" s="3"/>
      <c r="V69" s="3"/>
      <c r="W69" s="3"/>
      <c r="X69" s="3"/>
      <c r="Y69" s="3"/>
      <c r="Z69" s="3"/>
      <c r="AA69" s="3"/>
      <c r="AB69" s="3"/>
      <c r="AC69" s="3"/>
    </row>
    <row r="70" spans="1:29">
      <c r="A70" s="3"/>
      <c r="B70" s="3"/>
      <c r="C70" s="79">
        <f t="shared" si="2"/>
        <v>160</v>
      </c>
      <c r="D70" s="15">
        <f t="shared" si="3"/>
        <v>1.8798581644293644</v>
      </c>
      <c r="E70" s="3"/>
      <c r="P70" s="3"/>
      <c r="Q70" s="3"/>
      <c r="R70" s="3"/>
      <c r="S70" s="3"/>
      <c r="T70" s="3"/>
      <c r="U70" s="3"/>
      <c r="V70" s="3"/>
      <c r="W70" s="3"/>
      <c r="X70" s="3"/>
      <c r="Y70" s="3"/>
      <c r="Z70" s="3"/>
      <c r="AA70" s="3"/>
      <c r="AB70" s="3"/>
      <c r="AC70" s="3"/>
    </row>
    <row r="71" spans="1:29">
      <c r="A71" s="3"/>
      <c r="B71" s="3"/>
      <c r="C71" s="79">
        <f t="shared" si="2"/>
        <v>170</v>
      </c>
      <c r="D71" s="15">
        <f t="shared" si="3"/>
        <v>2.0835145896993548</v>
      </c>
      <c r="E71" s="3"/>
      <c r="P71" s="3"/>
      <c r="Q71" s="3"/>
      <c r="R71" s="3"/>
      <c r="S71" s="3"/>
      <c r="T71" s="3"/>
      <c r="U71" s="3"/>
      <c r="V71" s="3"/>
      <c r="W71" s="3"/>
      <c r="X71" s="3"/>
      <c r="Y71" s="3"/>
      <c r="Z71" s="3"/>
      <c r="AA71" s="3"/>
      <c r="AB71" s="3"/>
      <c r="AC71" s="3"/>
    </row>
    <row r="72" spans="1:29">
      <c r="A72" s="3"/>
      <c r="B72" s="3"/>
      <c r="C72" s="79">
        <f t="shared" si="2"/>
        <v>180</v>
      </c>
      <c r="D72" s="15">
        <f t="shared" si="3"/>
        <v>2.15</v>
      </c>
      <c r="E72" s="3"/>
      <c r="P72" s="3"/>
      <c r="Q72" s="3"/>
      <c r="R72" s="3"/>
      <c r="S72" s="3"/>
      <c r="T72" s="3"/>
      <c r="U72" s="3"/>
      <c r="V72" s="3"/>
      <c r="W72" s="3"/>
      <c r="X72" s="3"/>
      <c r="Y72" s="3"/>
      <c r="Z72" s="3"/>
      <c r="AA72" s="3"/>
      <c r="AB72" s="3"/>
      <c r="AC72" s="3"/>
    </row>
    <row r="73" spans="1:29">
      <c r="A73" s="3"/>
      <c r="B73" s="3"/>
      <c r="C73" s="79">
        <f t="shared" si="2"/>
        <v>190</v>
      </c>
      <c r="D73" s="15">
        <f t="shared" si="3"/>
        <v>2.0835145896993548</v>
      </c>
      <c r="E73" s="3"/>
      <c r="P73" s="3"/>
      <c r="Q73" s="3"/>
      <c r="R73" s="3"/>
      <c r="S73" s="3"/>
      <c r="T73" s="3"/>
      <c r="U73" s="3"/>
      <c r="V73" s="3"/>
      <c r="W73" s="3"/>
      <c r="X73" s="3"/>
      <c r="Y73" s="3"/>
      <c r="Z73" s="3"/>
      <c r="AA73" s="3"/>
      <c r="AB73" s="3"/>
      <c r="AC73" s="3"/>
    </row>
    <row r="74" spans="1:29">
      <c r="A74" s="3"/>
      <c r="B74" s="3"/>
      <c r="C74" s="79">
        <f t="shared" si="2"/>
        <v>200</v>
      </c>
      <c r="D74" s="15">
        <f t="shared" si="3"/>
        <v>1.8798581644293648</v>
      </c>
      <c r="E74" s="3"/>
      <c r="P74" s="3"/>
      <c r="Q74" s="3"/>
      <c r="R74" s="3"/>
      <c r="S74" s="3"/>
      <c r="T74" s="3"/>
      <c r="U74" s="3"/>
      <c r="V74" s="3"/>
      <c r="W74" s="3"/>
      <c r="X74" s="3"/>
      <c r="Y74" s="3"/>
      <c r="Z74" s="3"/>
      <c r="AA74" s="3"/>
      <c r="AB74" s="3"/>
      <c r="AC74" s="3"/>
    </row>
    <row r="75" spans="1:29">
      <c r="A75" s="3"/>
      <c r="B75" s="3"/>
      <c r="C75" s="79">
        <f t="shared" si="2"/>
        <v>210</v>
      </c>
      <c r="D75" s="15">
        <f t="shared" si="3"/>
        <v>1.5253063169584999</v>
      </c>
      <c r="E75" s="3"/>
      <c r="P75" s="3"/>
      <c r="Q75" s="3"/>
      <c r="R75" s="3"/>
      <c r="S75" s="3"/>
      <c r="T75" s="3"/>
      <c r="U75" s="3"/>
      <c r="V75" s="3"/>
      <c r="W75" s="3"/>
      <c r="X75" s="3"/>
      <c r="Y75" s="3"/>
      <c r="Z75" s="3"/>
      <c r="AA75" s="3"/>
      <c r="AB75" s="3"/>
      <c r="AC75" s="3"/>
    </row>
    <row r="76" spans="1:29">
      <c r="A76" s="3"/>
      <c r="B76" s="3"/>
      <c r="C76" s="79">
        <f t="shared" si="2"/>
        <v>220</v>
      </c>
      <c r="D76" s="15">
        <f t="shared" si="3"/>
        <v>0.99253966553519413</v>
      </c>
      <c r="E76" s="3"/>
      <c r="P76" s="3"/>
      <c r="Q76" s="3"/>
      <c r="R76" s="3"/>
      <c r="S76" s="3"/>
      <c r="T76" s="3"/>
      <c r="U76" s="3"/>
      <c r="V76" s="3"/>
      <c r="W76" s="3"/>
      <c r="X76" s="3"/>
      <c r="Y76" s="3"/>
      <c r="Z76" s="3"/>
      <c r="AA76" s="3"/>
      <c r="AB76" s="3"/>
      <c r="AC76" s="3"/>
    </row>
    <row r="77" spans="1:29">
      <c r="A77" s="3"/>
      <c r="B77" s="3"/>
      <c r="C77" s="79">
        <f t="shared" si="2"/>
        <v>230</v>
      </c>
      <c r="D77" s="15">
        <f t="shared" si="3"/>
        <v>0.23067496752435002</v>
      </c>
      <c r="E77" s="3"/>
      <c r="P77" s="3"/>
      <c r="Q77" s="3"/>
      <c r="R77" s="3"/>
      <c r="S77" s="3"/>
      <c r="T77" s="3"/>
      <c r="U77" s="3"/>
      <c r="V77" s="3"/>
      <c r="W77" s="3"/>
      <c r="X77" s="3"/>
      <c r="Y77" s="3"/>
      <c r="Z77" s="3"/>
      <c r="AA77" s="3"/>
      <c r="AB77" s="3"/>
      <c r="AC77" s="3"/>
    </row>
    <row r="78" spans="1:29">
      <c r="A78" s="3"/>
      <c r="B78" s="3"/>
      <c r="C78" s="79">
        <f t="shared" si="2"/>
        <v>240</v>
      </c>
      <c r="D78" s="15">
        <f t="shared" si="3"/>
        <v>-0.86029995663980818</v>
      </c>
      <c r="E78" s="3"/>
      <c r="P78" s="3"/>
      <c r="Q78" s="3"/>
      <c r="R78" s="3"/>
      <c r="S78" s="3"/>
      <c r="T78" s="3"/>
      <c r="U78" s="3"/>
      <c r="V78" s="3"/>
      <c r="W78" s="3"/>
      <c r="X78" s="3"/>
      <c r="Y78" s="3"/>
      <c r="Z78" s="3"/>
      <c r="AA78" s="3"/>
      <c r="AB78" s="3"/>
      <c r="AC78" s="3"/>
    </row>
    <row r="79" spans="1:29">
      <c r="A79" s="3"/>
      <c r="B79" s="3"/>
      <c r="C79" s="79">
        <f t="shared" si="2"/>
        <v>250</v>
      </c>
      <c r="D79" s="15">
        <f t="shared" si="3"/>
        <v>-2.5094831535448301</v>
      </c>
      <c r="E79" s="3"/>
      <c r="P79" s="3"/>
      <c r="Q79" s="3"/>
      <c r="R79" s="3"/>
      <c r="S79" s="3"/>
      <c r="T79" s="3"/>
      <c r="U79" s="3"/>
      <c r="V79" s="3"/>
      <c r="W79" s="3"/>
      <c r="X79" s="3"/>
      <c r="Y79" s="3"/>
      <c r="Z79" s="3"/>
      <c r="AA79" s="3"/>
      <c r="AB79" s="3"/>
      <c r="AC79" s="3"/>
    </row>
    <row r="80" spans="1:29">
      <c r="A80" s="3"/>
      <c r="B80" s="3"/>
      <c r="C80" s="79">
        <f t="shared" si="2"/>
        <v>260</v>
      </c>
      <c r="D80" s="15">
        <f t="shared" si="3"/>
        <v>-5.4532976998839953</v>
      </c>
      <c r="E80" s="3"/>
      <c r="P80" s="3"/>
      <c r="Q80" s="3"/>
      <c r="R80" s="3"/>
      <c r="S80" s="3"/>
      <c r="T80" s="3"/>
      <c r="U80" s="3"/>
      <c r="V80" s="3"/>
      <c r="W80" s="3"/>
      <c r="X80" s="3"/>
      <c r="Y80" s="3"/>
      <c r="Z80" s="3"/>
      <c r="AA80" s="3"/>
      <c r="AB80" s="3"/>
      <c r="AC80" s="3"/>
    </row>
    <row r="81" spans="1:29" ht="13">
      <c r="A81" s="3"/>
      <c r="B81" s="3"/>
      <c r="C81" s="79">
        <v>265</v>
      </c>
      <c r="D81" s="15">
        <f t="shared" si="3"/>
        <v>-8.4470399166987935</v>
      </c>
      <c r="E81" s="3" t="s">
        <v>715</v>
      </c>
      <c r="F81" s="3"/>
      <c r="G81" s="3"/>
      <c r="H81" s="3"/>
      <c r="I81" s="3"/>
      <c r="J81" s="3"/>
      <c r="K81" s="3"/>
      <c r="L81" s="3"/>
      <c r="M81" s="4" t="s">
        <v>394</v>
      </c>
      <c r="N81" s="3"/>
      <c r="O81" s="3"/>
      <c r="P81" s="3"/>
      <c r="Q81" s="3"/>
      <c r="R81" s="3"/>
      <c r="S81" s="3"/>
      <c r="T81" s="3"/>
      <c r="U81" s="3"/>
      <c r="V81" s="3"/>
      <c r="W81" s="3"/>
      <c r="X81" s="3"/>
      <c r="Y81" s="3"/>
      <c r="Z81" s="3"/>
      <c r="AA81" s="3"/>
      <c r="AB81" s="3"/>
      <c r="AC81" s="3"/>
    </row>
    <row r="82" spans="1:29">
      <c r="A82" s="3"/>
      <c r="B82" s="3"/>
      <c r="C82" s="79">
        <v>267.5</v>
      </c>
      <c r="D82" s="15">
        <f t="shared" si="3"/>
        <v>-11.453204383841493</v>
      </c>
      <c r="E82" s="3"/>
      <c r="F82" s="3"/>
      <c r="G82" s="3"/>
      <c r="H82" s="3"/>
      <c r="I82" s="3"/>
      <c r="J82" s="3"/>
      <c r="K82" s="3"/>
      <c r="L82" s="3"/>
      <c r="M82" s="3"/>
      <c r="N82" s="3"/>
      <c r="O82" s="3"/>
      <c r="P82" s="3"/>
      <c r="Q82" s="3"/>
      <c r="R82" s="3"/>
      <c r="S82" s="3"/>
      <c r="T82" s="3"/>
      <c r="U82" s="3"/>
      <c r="V82" s="3"/>
      <c r="W82" s="3"/>
      <c r="X82" s="3"/>
      <c r="Y82" s="3"/>
      <c r="Z82" s="3"/>
      <c r="AA82" s="3"/>
      <c r="AB82" s="3"/>
      <c r="AC82" s="3"/>
    </row>
    <row r="83" spans="1:29">
      <c r="A83" s="3"/>
      <c r="B83" s="3"/>
      <c r="C83" s="79">
        <f>C80+10</f>
        <v>270</v>
      </c>
      <c r="D83" s="15">
        <v>-40</v>
      </c>
      <c r="E83" s="3"/>
      <c r="F83" s="3"/>
      <c r="G83" s="3" t="s">
        <v>40</v>
      </c>
      <c r="H83" s="3"/>
      <c r="I83" s="3">
        <v>2.15</v>
      </c>
      <c r="J83" s="3" t="s">
        <v>36</v>
      </c>
      <c r="K83" s="3"/>
      <c r="L83" s="3"/>
      <c r="M83" s="3"/>
      <c r="N83" s="3"/>
      <c r="O83" s="3"/>
      <c r="P83" s="3"/>
      <c r="Q83" s="3"/>
      <c r="R83" s="3"/>
      <c r="S83" s="3"/>
      <c r="T83" s="3"/>
      <c r="U83" s="3"/>
      <c r="V83" s="3"/>
      <c r="W83" s="3"/>
      <c r="X83" s="3"/>
      <c r="Y83" s="3"/>
      <c r="Z83" s="3"/>
      <c r="AA83" s="3"/>
      <c r="AB83" s="3"/>
      <c r="AC83" s="3"/>
    </row>
    <row r="84" spans="1:29">
      <c r="A84" s="3"/>
      <c r="B84" s="3"/>
      <c r="C84" s="79">
        <v>272.5</v>
      </c>
      <c r="D84" s="15">
        <f t="shared" ref="D84:D94" si="4">2.15+10*LOG10(COS(RADIANS(C84)))</f>
        <v>-11.453204383841532</v>
      </c>
      <c r="E84" s="3"/>
      <c r="F84" s="3"/>
      <c r="G84" s="3"/>
      <c r="H84" s="3"/>
      <c r="I84" s="3"/>
      <c r="J84" s="3"/>
      <c r="K84" s="3"/>
      <c r="L84" s="3"/>
      <c r="M84" s="3"/>
      <c r="N84" s="3"/>
      <c r="O84" s="3"/>
      <c r="P84" s="3"/>
      <c r="Q84" s="3"/>
      <c r="R84" s="3"/>
      <c r="S84" s="3"/>
      <c r="T84" s="3"/>
      <c r="U84" s="3"/>
      <c r="V84" s="3"/>
      <c r="W84" s="3"/>
      <c r="X84" s="3"/>
      <c r="Y84" s="3"/>
      <c r="Z84" s="3"/>
      <c r="AA84" s="3"/>
      <c r="AB84" s="3"/>
      <c r="AC84" s="3"/>
    </row>
    <row r="85" spans="1:29">
      <c r="A85" s="3"/>
      <c r="B85" s="3"/>
      <c r="C85" s="79">
        <v>275</v>
      </c>
      <c r="D85" s="15">
        <f t="shared" si="4"/>
        <v>-8.4470399166988113</v>
      </c>
      <c r="E85" s="3"/>
      <c r="F85" s="3"/>
      <c r="G85" s="3" t="s">
        <v>61</v>
      </c>
      <c r="H85" s="3"/>
      <c r="I85" s="3">
        <v>78.8</v>
      </c>
      <c r="J85" s="3" t="s">
        <v>724</v>
      </c>
      <c r="K85" s="3" t="s">
        <v>390</v>
      </c>
      <c r="L85" s="3"/>
      <c r="M85" s="3"/>
      <c r="N85" s="3"/>
      <c r="O85" s="3"/>
      <c r="P85" s="3"/>
      <c r="Q85" s="3"/>
      <c r="R85" s="3"/>
      <c r="S85" s="3"/>
      <c r="T85" s="3"/>
      <c r="U85" s="3"/>
      <c r="V85" s="3"/>
      <c r="W85" s="3"/>
      <c r="X85" s="3"/>
      <c r="Y85" s="3"/>
      <c r="Z85" s="3"/>
      <c r="AA85" s="3"/>
      <c r="AB85" s="3"/>
      <c r="AC85" s="3"/>
    </row>
    <row r="86" spans="1:29">
      <c r="A86" s="3"/>
      <c r="B86" s="3"/>
      <c r="C86" s="79">
        <f>C83+10</f>
        <v>280</v>
      </c>
      <c r="D86" s="15">
        <f t="shared" si="4"/>
        <v>-5.4532976998840041</v>
      </c>
      <c r="E86" s="3" t="s">
        <v>715</v>
      </c>
      <c r="F86" s="3"/>
      <c r="G86" s="3"/>
      <c r="H86" s="3"/>
      <c r="I86" s="3"/>
      <c r="J86" s="3"/>
      <c r="K86" s="3"/>
      <c r="L86" s="3"/>
      <c r="M86" s="3"/>
      <c r="N86" s="3"/>
      <c r="O86" s="3"/>
      <c r="P86" s="3"/>
      <c r="Q86" s="3"/>
      <c r="R86" s="3"/>
      <c r="S86" s="3"/>
      <c r="T86" s="3"/>
      <c r="U86" s="3"/>
      <c r="V86" s="3"/>
      <c r="W86" s="3"/>
      <c r="X86" s="3"/>
      <c r="Y86" s="3"/>
      <c r="Z86" s="3"/>
      <c r="AA86" s="3"/>
      <c r="AB86" s="3"/>
      <c r="AC86" s="3"/>
    </row>
    <row r="87" spans="1:29">
      <c r="A87" s="3"/>
      <c r="B87" s="3"/>
      <c r="C87" s="79">
        <f t="shared" si="2"/>
        <v>290</v>
      </c>
      <c r="D87" s="15">
        <f t="shared" si="4"/>
        <v>-2.5094831535448248</v>
      </c>
      <c r="E87" s="3"/>
      <c r="F87" s="3"/>
      <c r="G87" s="3" t="s">
        <v>388</v>
      </c>
      <c r="H87" s="3"/>
      <c r="I87" s="492">
        <v>0</v>
      </c>
      <c r="J87" s="3" t="s">
        <v>724</v>
      </c>
      <c r="K87" s="3" t="s">
        <v>389</v>
      </c>
      <c r="L87" s="3"/>
      <c r="M87" s="3"/>
      <c r="N87" s="3"/>
      <c r="O87" s="3"/>
      <c r="P87" s="3"/>
      <c r="Q87" s="3"/>
      <c r="R87" s="3"/>
      <c r="S87" s="3"/>
      <c r="T87" s="3"/>
      <c r="U87" s="3"/>
      <c r="V87" s="3"/>
      <c r="W87" s="3"/>
      <c r="X87" s="3"/>
      <c r="Y87" s="3"/>
      <c r="Z87" s="3"/>
      <c r="AA87" s="3"/>
      <c r="AB87" s="3"/>
      <c r="AC87" s="3"/>
    </row>
    <row r="88" spans="1:29">
      <c r="A88" s="3"/>
      <c r="B88" s="3"/>
      <c r="C88" s="79">
        <f t="shared" si="2"/>
        <v>300</v>
      </c>
      <c r="D88" s="15">
        <f t="shared" si="4"/>
        <v>-0.86029995663981085</v>
      </c>
      <c r="E88" s="3"/>
      <c r="F88" s="3"/>
      <c r="G88" s="3"/>
      <c r="H88" s="3"/>
      <c r="I88" s="3"/>
      <c r="J88" s="3"/>
      <c r="K88" s="3"/>
      <c r="L88" s="3"/>
      <c r="M88" s="3"/>
      <c r="N88" s="3"/>
      <c r="O88" s="3"/>
      <c r="P88" s="3"/>
      <c r="Q88" s="3"/>
      <c r="R88" s="3"/>
      <c r="S88" s="3"/>
      <c r="T88" s="3"/>
      <c r="U88" s="3"/>
      <c r="V88" s="3"/>
      <c r="W88" s="3"/>
      <c r="X88" s="3"/>
      <c r="Y88" s="3"/>
      <c r="Z88" s="3"/>
      <c r="AA88" s="3"/>
      <c r="AB88" s="3"/>
      <c r="AC88" s="3"/>
    </row>
    <row r="89" spans="1:29">
      <c r="A89" s="3"/>
      <c r="B89" s="3"/>
      <c r="C89" s="79">
        <f t="shared" si="2"/>
        <v>310</v>
      </c>
      <c r="D89" s="15">
        <f t="shared" si="4"/>
        <v>0.23067496752434824</v>
      </c>
      <c r="E89" s="3"/>
      <c r="F89" s="3"/>
      <c r="G89" s="3" t="s">
        <v>391</v>
      </c>
      <c r="H89" s="3"/>
      <c r="I89" s="3">
        <v>2.15</v>
      </c>
      <c r="J89" s="3" t="s">
        <v>36</v>
      </c>
      <c r="K89" s="3" t="s">
        <v>392</v>
      </c>
      <c r="L89" s="3"/>
      <c r="M89" s="3"/>
      <c r="N89" s="3"/>
      <c r="O89" s="3"/>
      <c r="P89" s="3"/>
      <c r="Q89" s="3"/>
      <c r="R89" s="3"/>
      <c r="S89" s="3"/>
      <c r="T89" s="3"/>
      <c r="U89" s="3"/>
      <c r="V89" s="3"/>
      <c r="W89" s="3"/>
      <c r="X89" s="3"/>
      <c r="Y89" s="3"/>
      <c r="Z89" s="3"/>
      <c r="AA89" s="3"/>
      <c r="AB89" s="3"/>
      <c r="AC89" s="3"/>
    </row>
    <row r="90" spans="1:29">
      <c r="A90" s="3"/>
      <c r="B90" s="3"/>
      <c r="C90" s="79">
        <f t="shared" si="2"/>
        <v>320</v>
      </c>
      <c r="D90" s="15">
        <f t="shared" si="4"/>
        <v>0.99253966553519279</v>
      </c>
      <c r="E90" s="3"/>
      <c r="F90" s="3"/>
      <c r="G90" s="3"/>
      <c r="H90" s="3"/>
      <c r="I90" s="3"/>
      <c r="J90" s="3"/>
      <c r="K90" s="3"/>
      <c r="L90" s="3"/>
      <c r="M90" s="3"/>
      <c r="N90" s="3"/>
      <c r="O90" s="3"/>
      <c r="P90" s="3"/>
      <c r="Q90" s="3"/>
      <c r="R90" s="3"/>
      <c r="S90" s="3"/>
      <c r="T90" s="3"/>
      <c r="U90" s="3"/>
      <c r="V90" s="3"/>
      <c r="W90" s="3"/>
      <c r="X90" s="3"/>
      <c r="Y90" s="3"/>
      <c r="Z90" s="3"/>
      <c r="AA90" s="3"/>
      <c r="AB90" s="3"/>
      <c r="AC90" s="3"/>
    </row>
    <row r="91" spans="1:29">
      <c r="A91" s="3"/>
      <c r="B91" s="3"/>
      <c r="C91" s="79">
        <f t="shared" si="2"/>
        <v>330</v>
      </c>
      <c r="D91" s="15">
        <f t="shared" si="4"/>
        <v>1.5253063169584988</v>
      </c>
      <c r="E91" s="3"/>
      <c r="F91" s="3"/>
      <c r="G91" s="3" t="s">
        <v>393</v>
      </c>
      <c r="H91" s="3"/>
      <c r="I91" s="492">
        <v>0</v>
      </c>
      <c r="J91" s="3" t="s">
        <v>724</v>
      </c>
      <c r="K91" s="3"/>
      <c r="L91" s="3"/>
      <c r="M91" s="3"/>
      <c r="N91" s="3"/>
      <c r="O91" s="3"/>
      <c r="P91" s="3"/>
      <c r="Q91" s="3"/>
      <c r="R91" s="3"/>
      <c r="S91" s="3"/>
      <c r="T91" s="3"/>
      <c r="U91" s="3"/>
      <c r="V91" s="3"/>
      <c r="W91" s="3"/>
      <c r="X91" s="3"/>
      <c r="Y91" s="3"/>
      <c r="Z91" s="3"/>
      <c r="AA91" s="3"/>
      <c r="AB91" s="3"/>
      <c r="AC91" s="3"/>
    </row>
    <row r="92" spans="1:29">
      <c r="A92" s="3"/>
      <c r="B92" s="3"/>
      <c r="C92" s="79">
        <f t="shared" si="2"/>
        <v>340</v>
      </c>
      <c r="D92" s="15">
        <f t="shared" si="4"/>
        <v>1.8798581644293648</v>
      </c>
      <c r="E92" s="3"/>
      <c r="F92" s="3"/>
      <c r="G92" s="3"/>
      <c r="H92" s="3"/>
      <c r="I92" s="3"/>
      <c r="J92" s="3"/>
      <c r="K92" s="3"/>
      <c r="L92" s="3"/>
      <c r="M92" s="3"/>
      <c r="N92" s="3"/>
      <c r="O92" s="3"/>
      <c r="P92" s="3"/>
      <c r="Q92" s="3"/>
      <c r="R92" s="3"/>
      <c r="S92" s="3"/>
      <c r="T92" s="3"/>
      <c r="U92" s="3"/>
      <c r="V92" s="3"/>
      <c r="W92" s="3"/>
      <c r="X92" s="3"/>
      <c r="Y92" s="3"/>
      <c r="Z92" s="3"/>
      <c r="AA92" s="3"/>
      <c r="AB92" s="3"/>
      <c r="AC92" s="3"/>
    </row>
    <row r="93" spans="1:29">
      <c r="A93" s="3"/>
      <c r="B93" s="3"/>
      <c r="C93" s="79">
        <f t="shared" si="2"/>
        <v>350</v>
      </c>
      <c r="D93" s="15">
        <f t="shared" si="4"/>
        <v>2.0835145896993548</v>
      </c>
      <c r="E93" s="3"/>
      <c r="F93" s="3"/>
      <c r="G93" s="3"/>
      <c r="H93" s="3"/>
      <c r="I93" s="3"/>
      <c r="J93" s="3"/>
      <c r="K93" s="3"/>
      <c r="L93" s="3"/>
      <c r="M93" s="3"/>
      <c r="N93" s="3"/>
      <c r="O93" s="3"/>
      <c r="P93" s="3"/>
      <c r="Q93" s="3"/>
      <c r="R93" s="3"/>
      <c r="S93" s="3"/>
      <c r="T93" s="3"/>
      <c r="U93" s="3"/>
      <c r="V93" s="3"/>
      <c r="W93" s="3"/>
      <c r="X93" s="3"/>
      <c r="Y93" s="3"/>
      <c r="Z93" s="3"/>
      <c r="AA93" s="3"/>
      <c r="AB93" s="3"/>
      <c r="AC93" s="3"/>
    </row>
    <row r="94" spans="1:29">
      <c r="A94" s="3"/>
      <c r="B94" s="3"/>
      <c r="C94" s="79">
        <f t="shared" si="2"/>
        <v>360</v>
      </c>
      <c r="D94" s="15">
        <f t="shared" si="4"/>
        <v>2.15</v>
      </c>
      <c r="E94" s="3"/>
      <c r="F94" s="3"/>
      <c r="G94" s="3"/>
      <c r="H94" s="3"/>
      <c r="I94" s="3"/>
      <c r="J94" s="3"/>
      <c r="K94" s="3"/>
      <c r="L94" s="3"/>
      <c r="M94" s="3"/>
      <c r="N94" s="3"/>
      <c r="O94" s="3"/>
      <c r="P94" s="3"/>
      <c r="Q94" s="3"/>
      <c r="R94" s="3"/>
      <c r="S94" s="3"/>
      <c r="T94" s="3"/>
      <c r="U94" s="3"/>
      <c r="V94" s="3"/>
      <c r="W94" s="3"/>
      <c r="X94" s="3"/>
      <c r="Y94" s="3"/>
      <c r="Z94" s="3"/>
      <c r="AA94" s="3"/>
      <c r="AB94" s="3"/>
      <c r="AC94" s="3"/>
    </row>
    <row r="95" spans="1:29">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c r="AC95" s="3"/>
    </row>
    <row r="96" spans="1:29">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c r="AC96" s="3"/>
    </row>
    <row r="97" spans="1:29">
      <c r="A97" s="3"/>
      <c r="B97" s="31" t="s">
        <v>715</v>
      </c>
      <c r="C97" s="3"/>
      <c r="D97" s="548" t="s">
        <v>62</v>
      </c>
      <c r="E97" s="549" t="s">
        <v>154</v>
      </c>
      <c r="F97" s="3"/>
      <c r="G97" s="3"/>
      <c r="H97" s="3"/>
      <c r="I97" s="3"/>
      <c r="J97" s="3"/>
      <c r="K97" s="3"/>
      <c r="L97" s="3"/>
      <c r="M97" s="3"/>
      <c r="N97" s="3"/>
      <c r="O97" s="3"/>
      <c r="P97" s="3"/>
      <c r="Q97" s="3"/>
      <c r="R97" s="3"/>
      <c r="S97" s="3"/>
      <c r="T97" s="3"/>
      <c r="U97" s="3"/>
      <c r="V97" s="3"/>
      <c r="W97" s="3"/>
      <c r="X97" s="3"/>
      <c r="Y97" s="3"/>
      <c r="Z97" s="3"/>
      <c r="AA97" s="3"/>
      <c r="AB97" s="3"/>
      <c r="AC97" s="3"/>
    </row>
    <row r="98" spans="1:29">
      <c r="A98" s="3"/>
      <c r="B98" s="542" t="s">
        <v>572</v>
      </c>
      <c r="C98" s="887" t="s">
        <v>934</v>
      </c>
      <c r="D98" s="547" t="s">
        <v>155</v>
      </c>
      <c r="E98" s="550" t="s">
        <v>155</v>
      </c>
      <c r="F98" s="3"/>
      <c r="G98" s="3"/>
      <c r="H98" s="3"/>
      <c r="I98" s="3"/>
      <c r="J98" s="3"/>
      <c r="K98" s="3"/>
      <c r="L98" s="3"/>
      <c r="M98" s="3"/>
      <c r="N98" s="3"/>
      <c r="O98" s="3"/>
      <c r="U98" s="3"/>
      <c r="V98" s="3"/>
      <c r="W98" s="3"/>
      <c r="X98" s="3"/>
      <c r="Y98" s="3"/>
      <c r="Z98" s="3"/>
      <c r="AA98" s="3"/>
      <c r="AB98" s="3"/>
      <c r="AC98" s="3"/>
    </row>
    <row r="99" spans="1:29" ht="25">
      <c r="A99" s="3"/>
      <c r="B99" s="651" t="s">
        <v>254</v>
      </c>
      <c r="C99" s="79">
        <v>0</v>
      </c>
      <c r="D99" s="33">
        <f>2-0.00075*(C99)^2</f>
        <v>2</v>
      </c>
      <c r="E99" s="33">
        <f>0.5-0.00075*(180-C99)^2</f>
        <v>-23.8</v>
      </c>
      <c r="F99" t="s">
        <v>715</v>
      </c>
      <c r="G99" t="s">
        <v>715</v>
      </c>
      <c r="U99" s="3"/>
      <c r="V99" s="3"/>
      <c r="W99" s="3"/>
      <c r="X99" s="3"/>
      <c r="Y99" s="3"/>
      <c r="Z99" s="3"/>
      <c r="AA99" s="3"/>
      <c r="AB99" s="3"/>
      <c r="AC99" s="3"/>
    </row>
    <row r="100" spans="1:29">
      <c r="A100" s="3"/>
      <c r="B100" s="3"/>
      <c r="C100" s="79">
        <f>C99+5</f>
        <v>5</v>
      </c>
      <c r="D100" s="33">
        <f t="shared" ref="D100:D135" si="5">2-0.00075*(C100)^2</f>
        <v>1.98125</v>
      </c>
      <c r="E100" s="33">
        <f t="shared" ref="E100:E135" si="6">0.5-0.00075*(180-C100)^2</f>
        <v>-22.46875</v>
      </c>
      <c r="U100" s="3"/>
      <c r="V100" s="3"/>
      <c r="W100" s="3"/>
      <c r="X100" s="3"/>
      <c r="Y100" s="3"/>
      <c r="Z100" s="3"/>
      <c r="AA100" s="3"/>
      <c r="AB100" s="3"/>
      <c r="AC100" s="3"/>
    </row>
    <row r="101" spans="1:29">
      <c r="A101" s="3"/>
      <c r="B101" s="3"/>
      <c r="C101" s="79">
        <f t="shared" ref="C101:C128" si="7">C100+5</f>
        <v>10</v>
      </c>
      <c r="D101" s="33">
        <f t="shared" si="5"/>
        <v>1.925</v>
      </c>
      <c r="E101" s="33">
        <f t="shared" si="6"/>
        <v>-21.175000000000001</v>
      </c>
      <c r="U101" s="3"/>
      <c r="V101" s="3"/>
      <c r="W101" s="3"/>
      <c r="X101" s="3"/>
      <c r="Y101" s="3"/>
      <c r="Z101" s="3"/>
      <c r="AA101" s="3"/>
      <c r="AB101" s="3"/>
      <c r="AC101" s="3"/>
    </row>
    <row r="102" spans="1:29">
      <c r="A102" s="3"/>
      <c r="B102" s="3"/>
      <c r="C102" s="79">
        <f t="shared" si="7"/>
        <v>15</v>
      </c>
      <c r="D102" s="33">
        <f t="shared" si="5"/>
        <v>1.83125</v>
      </c>
      <c r="E102" s="33">
        <f t="shared" si="6"/>
        <v>-19.918749999999999</v>
      </c>
      <c r="U102" s="3"/>
      <c r="V102" s="3"/>
      <c r="W102" s="3"/>
      <c r="X102" s="3"/>
      <c r="Y102" s="3"/>
      <c r="Z102" s="3"/>
      <c r="AA102" s="3"/>
      <c r="AB102" s="3"/>
      <c r="AC102" s="3"/>
    </row>
    <row r="103" spans="1:29">
      <c r="A103" s="3"/>
      <c r="B103" s="3"/>
      <c r="C103" s="79">
        <f t="shared" si="7"/>
        <v>20</v>
      </c>
      <c r="D103" s="33">
        <f t="shared" si="5"/>
        <v>1.7</v>
      </c>
      <c r="E103" s="33">
        <f t="shared" si="6"/>
        <v>-18.7</v>
      </c>
      <c r="U103" s="3"/>
      <c r="V103" s="3"/>
      <c r="W103" s="3"/>
      <c r="X103" s="3"/>
      <c r="Y103" s="3"/>
      <c r="Z103" s="3"/>
      <c r="AA103" s="3"/>
      <c r="AB103" s="3"/>
      <c r="AC103" s="3"/>
    </row>
    <row r="104" spans="1:29">
      <c r="A104" s="3"/>
      <c r="B104" s="3" t="s">
        <v>715</v>
      </c>
      <c r="C104" s="79">
        <f t="shared" si="7"/>
        <v>25</v>
      </c>
      <c r="D104" s="33">
        <f t="shared" si="5"/>
        <v>1.53125</v>
      </c>
      <c r="E104" s="33">
        <f t="shared" si="6"/>
        <v>-17.518750000000001</v>
      </c>
      <c r="U104" s="3"/>
      <c r="V104" s="3"/>
      <c r="W104" s="3"/>
      <c r="X104" s="3"/>
      <c r="Y104" s="3"/>
      <c r="Z104" s="3"/>
      <c r="AA104" s="3"/>
      <c r="AB104" s="3"/>
      <c r="AC104" s="3"/>
    </row>
    <row r="105" spans="1:29">
      <c r="A105" s="3"/>
      <c r="B105" s="3"/>
      <c r="C105" s="79">
        <f t="shared" si="7"/>
        <v>30</v>
      </c>
      <c r="D105" s="33">
        <f t="shared" si="5"/>
        <v>1.325</v>
      </c>
      <c r="E105" s="33">
        <f t="shared" si="6"/>
        <v>-16.375</v>
      </c>
      <c r="U105" s="3"/>
      <c r="V105" s="3"/>
      <c r="W105" s="3"/>
      <c r="X105" s="3"/>
      <c r="Y105" s="3"/>
      <c r="Z105" s="3"/>
      <c r="AA105" s="3"/>
      <c r="AB105" s="3"/>
      <c r="AC105" s="3"/>
    </row>
    <row r="106" spans="1:29">
      <c r="A106" s="3"/>
      <c r="B106" s="3"/>
      <c r="C106" s="79">
        <f t="shared" si="7"/>
        <v>35</v>
      </c>
      <c r="D106" s="33">
        <f t="shared" si="5"/>
        <v>1.0812499999999998</v>
      </c>
      <c r="E106" s="33">
        <f t="shared" si="6"/>
        <v>-15.268750000000001</v>
      </c>
      <c r="U106" s="3"/>
      <c r="V106" s="3"/>
      <c r="W106" s="3"/>
      <c r="X106" s="3"/>
      <c r="Y106" s="3"/>
      <c r="Z106" s="3"/>
      <c r="AA106" s="3"/>
      <c r="AB106" s="3"/>
      <c r="AC106" s="3"/>
    </row>
    <row r="107" spans="1:29">
      <c r="A107" s="3"/>
      <c r="B107" s="3"/>
      <c r="C107" s="79">
        <f t="shared" si="7"/>
        <v>40</v>
      </c>
      <c r="D107" s="33">
        <f t="shared" si="5"/>
        <v>0.8</v>
      </c>
      <c r="E107" s="33">
        <f t="shared" si="6"/>
        <v>-14.200000000000001</v>
      </c>
      <c r="U107" s="3"/>
      <c r="V107" s="3"/>
      <c r="W107" s="3"/>
      <c r="X107" s="3"/>
      <c r="Y107" s="3"/>
      <c r="Z107" s="3"/>
      <c r="AA107" s="3"/>
      <c r="AB107" s="3"/>
      <c r="AC107" s="3"/>
    </row>
    <row r="108" spans="1:29">
      <c r="A108" s="3"/>
      <c r="B108" s="3"/>
      <c r="C108" s="79">
        <f t="shared" si="7"/>
        <v>45</v>
      </c>
      <c r="D108" s="33">
        <f t="shared" si="5"/>
        <v>0.48124999999999996</v>
      </c>
      <c r="E108" s="33">
        <f t="shared" si="6"/>
        <v>-13.168750000000001</v>
      </c>
      <c r="U108" s="3"/>
      <c r="V108" s="3"/>
      <c r="W108" s="3"/>
      <c r="X108" s="3"/>
      <c r="Y108" s="3"/>
      <c r="Z108" s="3"/>
      <c r="AA108" s="3"/>
      <c r="AB108" s="3"/>
      <c r="AC108" s="3"/>
    </row>
    <row r="109" spans="1:29">
      <c r="A109" s="3"/>
      <c r="B109" s="3"/>
      <c r="C109" s="79">
        <f t="shared" si="7"/>
        <v>50</v>
      </c>
      <c r="D109" s="33">
        <f t="shared" si="5"/>
        <v>0.125</v>
      </c>
      <c r="E109" s="33">
        <f t="shared" si="6"/>
        <v>-12.175000000000001</v>
      </c>
      <c r="U109" s="3"/>
      <c r="V109" s="3"/>
      <c r="W109" s="3"/>
      <c r="X109" s="3"/>
      <c r="Y109" s="3"/>
      <c r="Z109" s="3"/>
      <c r="AA109" s="3"/>
      <c r="AB109" s="3"/>
      <c r="AC109" s="3"/>
    </row>
    <row r="110" spans="1:29">
      <c r="A110" s="3"/>
      <c r="B110" s="3"/>
      <c r="C110" s="79">
        <f t="shared" si="7"/>
        <v>55</v>
      </c>
      <c r="D110" s="33">
        <f t="shared" si="5"/>
        <v>-0.26875000000000027</v>
      </c>
      <c r="E110" s="33">
        <f t="shared" si="6"/>
        <v>-11.21875</v>
      </c>
      <c r="U110" s="3"/>
      <c r="V110" s="3"/>
      <c r="W110" s="3"/>
      <c r="X110" s="3"/>
      <c r="Y110" s="3"/>
      <c r="Z110" s="3"/>
      <c r="AA110" s="3"/>
      <c r="AB110" s="3"/>
      <c r="AC110" s="3"/>
    </row>
    <row r="111" spans="1:29">
      <c r="A111" s="3"/>
      <c r="B111" s="3"/>
      <c r="C111" s="79">
        <f t="shared" si="7"/>
        <v>60</v>
      </c>
      <c r="D111" s="33">
        <f t="shared" si="5"/>
        <v>-0.70000000000000018</v>
      </c>
      <c r="E111" s="33">
        <f t="shared" si="6"/>
        <v>-10.3</v>
      </c>
      <c r="U111" s="3"/>
      <c r="V111" s="3"/>
      <c r="W111" s="3"/>
      <c r="X111" s="3"/>
      <c r="Y111" s="3"/>
      <c r="Z111" s="3"/>
      <c r="AA111" s="3"/>
      <c r="AB111" s="3"/>
      <c r="AC111" s="3"/>
    </row>
    <row r="112" spans="1:29">
      <c r="A112" s="3"/>
      <c r="B112" s="3"/>
      <c r="C112" s="79">
        <f t="shared" si="7"/>
        <v>65</v>
      </c>
      <c r="D112" s="33">
        <f t="shared" si="5"/>
        <v>-1.1687500000000002</v>
      </c>
      <c r="E112" s="33">
        <f t="shared" si="6"/>
        <v>-9.4187500000000011</v>
      </c>
      <c r="U112" s="3"/>
      <c r="V112" s="3"/>
      <c r="W112" s="3"/>
      <c r="X112" s="3"/>
      <c r="Y112" s="3"/>
      <c r="Z112" s="3"/>
      <c r="AA112" s="3"/>
      <c r="AB112" s="3"/>
      <c r="AC112" s="3"/>
    </row>
    <row r="113" spans="1:29">
      <c r="A113" s="3"/>
      <c r="B113" s="3"/>
      <c r="C113" s="79">
        <f t="shared" si="7"/>
        <v>70</v>
      </c>
      <c r="D113" s="33">
        <f t="shared" si="5"/>
        <v>-1.6750000000000003</v>
      </c>
      <c r="E113" s="33">
        <f t="shared" si="6"/>
        <v>-8.5750000000000011</v>
      </c>
      <c r="U113" s="3"/>
      <c r="V113" s="3"/>
      <c r="W113" s="3"/>
      <c r="X113" s="3"/>
      <c r="Y113" s="3"/>
      <c r="Z113" s="3"/>
      <c r="AA113" s="3"/>
      <c r="AB113" s="3"/>
      <c r="AC113" s="3"/>
    </row>
    <row r="114" spans="1:29">
      <c r="A114" s="3"/>
      <c r="B114" s="3"/>
      <c r="C114" s="79">
        <f t="shared" si="7"/>
        <v>75</v>
      </c>
      <c r="D114" s="33">
        <f t="shared" si="5"/>
        <v>-2.21875</v>
      </c>
      <c r="E114" s="33">
        <f t="shared" si="6"/>
        <v>-7.7687500000000007</v>
      </c>
      <c r="U114" s="3"/>
      <c r="V114" s="3"/>
      <c r="W114" s="3"/>
      <c r="X114" s="3"/>
      <c r="Y114" s="3"/>
      <c r="Z114" s="3"/>
      <c r="AA114" s="3"/>
      <c r="AB114" s="3"/>
      <c r="AC114" s="3"/>
    </row>
    <row r="115" spans="1:29">
      <c r="A115" s="3"/>
      <c r="B115" s="3"/>
      <c r="C115" s="79">
        <f t="shared" si="7"/>
        <v>80</v>
      </c>
      <c r="D115" s="33">
        <f t="shared" si="5"/>
        <v>-2.8</v>
      </c>
      <c r="E115" s="33">
        <f t="shared" si="6"/>
        <v>-7</v>
      </c>
      <c r="U115" s="3"/>
      <c r="V115" s="3"/>
      <c r="W115" s="3"/>
      <c r="X115" s="3"/>
      <c r="Y115" s="3"/>
      <c r="Z115" s="3"/>
      <c r="AA115" s="3"/>
      <c r="AB115" s="3"/>
      <c r="AC115" s="3"/>
    </row>
    <row r="116" spans="1:29">
      <c r="A116" s="3"/>
      <c r="B116" s="3"/>
      <c r="C116" s="79">
        <f t="shared" si="7"/>
        <v>85</v>
      </c>
      <c r="D116" s="33">
        <f t="shared" si="5"/>
        <v>-3.4187500000000002</v>
      </c>
      <c r="E116" s="33">
        <f t="shared" si="6"/>
        <v>-6.2687499999999998</v>
      </c>
      <c r="U116" s="3"/>
      <c r="V116" s="3"/>
      <c r="W116" s="3"/>
      <c r="X116" s="3"/>
      <c r="Y116" s="3"/>
      <c r="Z116" s="3"/>
      <c r="AA116" s="3"/>
      <c r="AB116" s="3"/>
      <c r="AC116" s="3"/>
    </row>
    <row r="117" spans="1:29">
      <c r="A117" s="3"/>
      <c r="B117" s="3"/>
      <c r="C117" s="79">
        <f t="shared" si="7"/>
        <v>90</v>
      </c>
      <c r="D117" s="33">
        <f t="shared" si="5"/>
        <v>-4.0750000000000002</v>
      </c>
      <c r="E117" s="33">
        <f t="shared" si="6"/>
        <v>-5.5750000000000002</v>
      </c>
      <c r="U117" s="3"/>
      <c r="V117" s="3"/>
      <c r="W117" s="3"/>
      <c r="X117" s="3"/>
      <c r="Y117" s="3"/>
      <c r="Z117" s="3"/>
      <c r="AA117" s="3"/>
      <c r="AB117" s="3"/>
      <c r="AC117" s="3"/>
    </row>
    <row r="118" spans="1:29">
      <c r="A118" s="3"/>
      <c r="B118" s="3"/>
      <c r="C118" s="79">
        <f t="shared" si="7"/>
        <v>95</v>
      </c>
      <c r="D118" s="33">
        <f t="shared" si="5"/>
        <v>-4.7687499999999998</v>
      </c>
      <c r="E118" s="33">
        <f t="shared" si="6"/>
        <v>-4.9187500000000002</v>
      </c>
      <c r="U118" s="3"/>
      <c r="V118" s="3"/>
      <c r="W118" s="3"/>
      <c r="X118" s="3"/>
      <c r="Y118" s="3"/>
      <c r="Z118" s="3"/>
      <c r="AA118" s="3"/>
      <c r="AB118" s="3"/>
      <c r="AC118" s="3"/>
    </row>
    <row r="119" spans="1:29">
      <c r="A119" s="3"/>
      <c r="B119" s="3"/>
      <c r="C119" s="79">
        <f t="shared" si="7"/>
        <v>100</v>
      </c>
      <c r="D119" s="33">
        <f t="shared" si="5"/>
        <v>-5.5</v>
      </c>
      <c r="E119" s="33">
        <f t="shared" si="6"/>
        <v>-4.3</v>
      </c>
      <c r="U119" s="3"/>
      <c r="V119" s="3"/>
      <c r="W119" s="3"/>
      <c r="X119" s="3"/>
      <c r="Y119" s="3"/>
      <c r="Z119" s="3"/>
      <c r="AA119" s="3"/>
      <c r="AB119" s="3"/>
      <c r="AC119" s="3"/>
    </row>
    <row r="120" spans="1:29">
      <c r="A120" s="3"/>
      <c r="B120" s="3"/>
      <c r="C120" s="79">
        <f t="shared" si="7"/>
        <v>105</v>
      </c>
      <c r="D120" s="33">
        <f t="shared" si="5"/>
        <v>-6.2687500000000007</v>
      </c>
      <c r="E120" s="33">
        <f t="shared" si="6"/>
        <v>-3.71875</v>
      </c>
      <c r="U120" s="3"/>
      <c r="V120" s="3"/>
      <c r="W120" s="3"/>
      <c r="X120" s="3"/>
      <c r="Y120" s="3"/>
      <c r="Z120" s="3"/>
      <c r="AA120" s="3"/>
      <c r="AB120" s="3"/>
      <c r="AC120" s="3"/>
    </row>
    <row r="121" spans="1:29">
      <c r="A121" s="3"/>
      <c r="B121" s="3"/>
      <c r="C121" s="79">
        <f t="shared" si="7"/>
        <v>110</v>
      </c>
      <c r="D121" s="33">
        <f t="shared" si="5"/>
        <v>-7.0750000000000011</v>
      </c>
      <c r="E121" s="33">
        <f t="shared" si="6"/>
        <v>-3.1750000000000003</v>
      </c>
      <c r="U121" s="3"/>
      <c r="V121" s="3"/>
      <c r="W121" s="3"/>
      <c r="X121" s="3"/>
      <c r="Y121" s="3"/>
      <c r="Z121" s="3"/>
      <c r="AA121" s="3"/>
      <c r="AB121" s="3"/>
      <c r="AC121" s="3"/>
    </row>
    <row r="122" spans="1:29">
      <c r="A122" s="3"/>
      <c r="B122" s="3"/>
      <c r="C122" s="79">
        <f t="shared" si="7"/>
        <v>115</v>
      </c>
      <c r="D122" s="33">
        <f t="shared" si="5"/>
        <v>-7.9187500000000011</v>
      </c>
      <c r="E122" s="33">
        <f t="shared" si="6"/>
        <v>-2.6687500000000002</v>
      </c>
      <c r="U122" s="3"/>
      <c r="V122" s="3"/>
      <c r="W122" s="3"/>
      <c r="X122" s="3"/>
      <c r="Y122" s="3"/>
      <c r="Z122" s="3"/>
      <c r="AA122" s="3"/>
      <c r="AB122" s="3"/>
      <c r="AC122" s="3"/>
    </row>
    <row r="123" spans="1:29">
      <c r="A123" s="3"/>
      <c r="B123" s="3"/>
      <c r="C123" s="79">
        <f t="shared" si="7"/>
        <v>120</v>
      </c>
      <c r="D123" s="33">
        <f t="shared" si="5"/>
        <v>-8.8000000000000007</v>
      </c>
      <c r="E123" s="33">
        <f t="shared" si="6"/>
        <v>-2.2000000000000002</v>
      </c>
      <c r="U123" s="3"/>
      <c r="V123" s="3"/>
      <c r="W123" s="3"/>
      <c r="X123" s="3"/>
      <c r="Y123" s="3"/>
      <c r="Z123" s="3"/>
      <c r="AA123" s="3"/>
      <c r="AB123" s="3"/>
      <c r="AC123" s="3"/>
    </row>
    <row r="124" spans="1:29">
      <c r="A124" s="3"/>
      <c r="B124" s="3"/>
      <c r="C124" s="79">
        <f t="shared" si="7"/>
        <v>125</v>
      </c>
      <c r="D124" s="33">
        <f t="shared" si="5"/>
        <v>-9.71875</v>
      </c>
      <c r="E124" s="33">
        <f t="shared" si="6"/>
        <v>-1.7687500000000003</v>
      </c>
      <c r="U124" s="3"/>
      <c r="V124" s="3"/>
      <c r="W124" s="3"/>
      <c r="X124" s="3"/>
      <c r="Y124" s="3"/>
      <c r="Z124" s="3"/>
      <c r="AA124" s="3"/>
      <c r="AB124" s="3"/>
      <c r="AC124" s="3"/>
    </row>
    <row r="125" spans="1:29">
      <c r="A125" s="3"/>
      <c r="B125" s="3"/>
      <c r="C125" s="79">
        <f t="shared" si="7"/>
        <v>130</v>
      </c>
      <c r="D125" s="33">
        <f t="shared" si="5"/>
        <v>-10.675000000000001</v>
      </c>
      <c r="E125" s="33">
        <f t="shared" si="6"/>
        <v>-1.375</v>
      </c>
      <c r="U125" s="3"/>
      <c r="V125" s="3"/>
      <c r="W125" s="3"/>
      <c r="X125" s="3"/>
      <c r="Y125" s="3"/>
      <c r="Z125" s="3"/>
      <c r="AA125" s="3"/>
      <c r="AB125" s="3"/>
      <c r="AC125" s="3"/>
    </row>
    <row r="126" spans="1:29">
      <c r="A126" s="3"/>
      <c r="B126" s="3"/>
      <c r="C126" s="79">
        <f t="shared" si="7"/>
        <v>135</v>
      </c>
      <c r="D126" s="33">
        <f t="shared" si="5"/>
        <v>-11.668750000000001</v>
      </c>
      <c r="E126" s="33">
        <f t="shared" si="6"/>
        <v>-1.01875</v>
      </c>
      <c r="U126" s="3"/>
      <c r="V126" s="3"/>
      <c r="W126" s="3"/>
      <c r="X126" s="3"/>
      <c r="Y126" s="3"/>
      <c r="Z126" s="3"/>
      <c r="AA126" s="3"/>
      <c r="AB126" s="3"/>
      <c r="AC126" s="3"/>
    </row>
    <row r="127" spans="1:29">
      <c r="A127" s="3"/>
      <c r="B127" s="3"/>
      <c r="C127" s="79">
        <f t="shared" si="7"/>
        <v>140</v>
      </c>
      <c r="D127" s="33">
        <f t="shared" si="5"/>
        <v>-12.700000000000001</v>
      </c>
      <c r="E127" s="33">
        <f t="shared" si="6"/>
        <v>-0.7</v>
      </c>
      <c r="U127" s="3"/>
      <c r="V127" s="3"/>
      <c r="W127" s="3"/>
      <c r="X127" s="3"/>
      <c r="Y127" s="3"/>
      <c r="Z127" s="3"/>
      <c r="AA127" s="3"/>
      <c r="AB127" s="3"/>
      <c r="AC127" s="3"/>
    </row>
    <row r="128" spans="1:29">
      <c r="A128" s="3"/>
      <c r="B128" s="3"/>
      <c r="C128" s="79">
        <f t="shared" si="7"/>
        <v>145</v>
      </c>
      <c r="D128" s="33">
        <f t="shared" si="5"/>
        <v>-13.768750000000001</v>
      </c>
      <c r="E128" s="33">
        <f t="shared" si="6"/>
        <v>-0.41875000000000007</v>
      </c>
      <c r="U128" s="3"/>
      <c r="V128" s="3"/>
      <c r="W128" s="3"/>
      <c r="X128" s="3"/>
      <c r="Y128" s="3"/>
      <c r="Z128" s="3"/>
      <c r="AA128" s="3"/>
      <c r="AB128" s="3"/>
      <c r="AC128" s="3"/>
    </row>
    <row r="129" spans="1:29">
      <c r="A129" s="3"/>
      <c r="B129" s="3"/>
      <c r="C129" s="79">
        <f>C128+5</f>
        <v>150</v>
      </c>
      <c r="D129" s="33">
        <f t="shared" si="5"/>
        <v>-14.875</v>
      </c>
      <c r="E129" s="33">
        <f t="shared" si="6"/>
        <v>-0.17500000000000004</v>
      </c>
      <c r="U129" s="3"/>
      <c r="V129" s="3"/>
      <c r="W129" s="3"/>
      <c r="X129" s="3"/>
      <c r="Y129" s="3"/>
      <c r="Z129" s="3"/>
      <c r="AA129" s="3"/>
      <c r="AB129" s="3"/>
      <c r="AC129" s="3"/>
    </row>
    <row r="130" spans="1:29">
      <c r="A130" s="3"/>
      <c r="B130" s="3"/>
      <c r="C130" s="79">
        <f>C129+5</f>
        <v>155</v>
      </c>
      <c r="D130" s="33">
        <f t="shared" si="5"/>
        <v>-16.018750000000001</v>
      </c>
      <c r="E130" s="33">
        <f t="shared" si="6"/>
        <v>3.125E-2</v>
      </c>
      <c r="U130" s="3"/>
      <c r="V130" s="3"/>
      <c r="W130" s="3"/>
      <c r="X130" s="3"/>
      <c r="Y130" s="3"/>
      <c r="Z130" s="3"/>
      <c r="AA130" s="3"/>
      <c r="AB130" s="3"/>
      <c r="AC130" s="3"/>
    </row>
    <row r="131" spans="1:29">
      <c r="A131" s="3"/>
      <c r="B131" s="3"/>
      <c r="C131" s="79">
        <f t="shared" ref="C131:C170" si="8">C130+5</f>
        <v>160</v>
      </c>
      <c r="D131" s="33">
        <f t="shared" si="5"/>
        <v>-17.2</v>
      </c>
      <c r="E131" s="33">
        <f t="shared" si="6"/>
        <v>0.2</v>
      </c>
      <c r="U131" s="3"/>
      <c r="V131" s="3"/>
      <c r="W131" s="3"/>
      <c r="X131" s="3"/>
      <c r="Y131" s="3"/>
      <c r="Z131" s="3"/>
      <c r="AA131" s="3"/>
      <c r="AB131" s="3"/>
      <c r="AC131" s="3"/>
    </row>
    <row r="132" spans="1:29">
      <c r="A132" s="3"/>
      <c r="B132" s="3"/>
      <c r="C132" s="79">
        <f t="shared" si="8"/>
        <v>165</v>
      </c>
      <c r="D132" s="33">
        <f t="shared" si="5"/>
        <v>-18.418749999999999</v>
      </c>
      <c r="E132" s="33">
        <f t="shared" si="6"/>
        <v>0.33124999999999999</v>
      </c>
      <c r="U132" s="3"/>
      <c r="V132" s="3"/>
      <c r="W132" s="3"/>
      <c r="X132" s="3"/>
      <c r="Y132" s="3"/>
      <c r="Z132" s="3"/>
      <c r="AA132" s="3"/>
      <c r="AB132" s="3"/>
      <c r="AC132" s="3"/>
    </row>
    <row r="133" spans="1:29">
      <c r="A133" s="3"/>
      <c r="B133" s="3"/>
      <c r="C133" s="79">
        <f t="shared" si="8"/>
        <v>170</v>
      </c>
      <c r="D133" s="33">
        <f t="shared" si="5"/>
        <v>-19.675000000000001</v>
      </c>
      <c r="E133" s="33">
        <f t="shared" si="6"/>
        <v>0.42499999999999999</v>
      </c>
      <c r="U133" s="3"/>
      <c r="V133" s="3"/>
      <c r="W133" s="3"/>
      <c r="X133" s="3"/>
      <c r="Y133" s="3"/>
      <c r="Z133" s="3"/>
      <c r="AA133" s="3"/>
      <c r="AB133" s="3"/>
      <c r="AC133" s="3"/>
    </row>
    <row r="134" spans="1:29">
      <c r="A134" s="3"/>
      <c r="B134" s="3"/>
      <c r="C134" s="79">
        <f t="shared" si="8"/>
        <v>175</v>
      </c>
      <c r="D134" s="33">
        <f t="shared" si="5"/>
        <v>-20.96875</v>
      </c>
      <c r="E134" s="15">
        <f t="shared" si="6"/>
        <v>0.48125000000000001</v>
      </c>
      <c r="F134" s="3"/>
      <c r="G134" s="3"/>
      <c r="H134" s="3"/>
      <c r="I134" s="3"/>
      <c r="J134" s="3"/>
      <c r="K134" s="3"/>
      <c r="L134" s="3"/>
      <c r="M134" s="3"/>
      <c r="N134" s="3"/>
      <c r="O134" s="3"/>
      <c r="P134" s="3"/>
      <c r="Q134" s="3"/>
      <c r="R134" s="3"/>
      <c r="S134" s="3"/>
      <c r="T134" s="3"/>
      <c r="U134" s="3"/>
      <c r="V134" s="3"/>
      <c r="W134" s="3"/>
      <c r="X134" s="3"/>
      <c r="Y134" s="3"/>
      <c r="Z134" s="3"/>
      <c r="AA134" s="3"/>
      <c r="AB134" s="3"/>
      <c r="AC134" s="3"/>
    </row>
    <row r="135" spans="1:29">
      <c r="A135" s="3"/>
      <c r="B135" s="3"/>
      <c r="C135" s="79">
        <f t="shared" si="8"/>
        <v>180</v>
      </c>
      <c r="D135" s="33">
        <f t="shared" si="5"/>
        <v>-22.3</v>
      </c>
      <c r="E135" s="33">
        <f t="shared" si="6"/>
        <v>0.5</v>
      </c>
      <c r="F135" s="3"/>
      <c r="G135" s="3"/>
      <c r="H135" s="3"/>
      <c r="I135" s="3"/>
      <c r="J135" s="3"/>
      <c r="K135" s="3"/>
      <c r="L135" s="3"/>
      <c r="M135" s="3"/>
      <c r="N135" s="3"/>
      <c r="O135" s="3"/>
      <c r="P135" s="3"/>
      <c r="Q135" s="3"/>
      <c r="R135" s="3"/>
      <c r="S135" s="3"/>
      <c r="T135" s="3"/>
      <c r="U135" s="3"/>
      <c r="V135" s="3"/>
      <c r="W135" s="3"/>
      <c r="X135" s="3"/>
      <c r="Y135" s="3"/>
      <c r="Z135" s="3"/>
      <c r="AA135" s="3"/>
      <c r="AB135" s="3"/>
      <c r="AC135" s="3"/>
    </row>
    <row r="136" spans="1:29">
      <c r="A136" s="3"/>
      <c r="B136" s="3"/>
      <c r="C136" s="79">
        <f t="shared" si="8"/>
        <v>185</v>
      </c>
      <c r="D136" s="33">
        <f>2-0.00075*(360-C136)^2</f>
        <v>-20.96875</v>
      </c>
      <c r="E136" s="15">
        <f>0.5-0.00075*-(180-C136)^2</f>
        <v>0.48125000000000001</v>
      </c>
      <c r="F136" s="3"/>
      <c r="G136" s="3"/>
      <c r="H136" s="3"/>
      <c r="I136" s="3"/>
      <c r="J136" s="3"/>
      <c r="K136" s="3"/>
      <c r="L136" s="3"/>
      <c r="M136" s="3"/>
      <c r="N136" s="3"/>
      <c r="O136" s="3"/>
      <c r="P136" s="3"/>
      <c r="Q136" s="3"/>
      <c r="R136" s="3"/>
      <c r="S136" s="3"/>
      <c r="T136" s="3"/>
      <c r="U136" s="3"/>
      <c r="V136" s="3"/>
      <c r="W136" s="3"/>
      <c r="X136" s="3"/>
      <c r="Y136" s="3"/>
      <c r="Z136" s="3"/>
      <c r="AA136" s="3"/>
      <c r="AB136" s="3"/>
      <c r="AC136" s="3"/>
    </row>
    <row r="137" spans="1:29">
      <c r="A137" s="3"/>
      <c r="B137" s="3"/>
      <c r="C137" s="79">
        <f t="shared" si="8"/>
        <v>190</v>
      </c>
      <c r="D137" s="33">
        <f t="shared" ref="D137:D171" si="9">2-0.00075*(360-C137)^2</f>
        <v>-19.675000000000001</v>
      </c>
      <c r="E137" s="15">
        <f t="shared" ref="E137:E170" si="10">0.5-0.00075*-(180-C137)^2</f>
        <v>0.42499999999999999</v>
      </c>
      <c r="F137" s="3"/>
      <c r="G137" s="3"/>
      <c r="H137" s="3"/>
      <c r="I137" s="3"/>
      <c r="J137" s="3"/>
      <c r="K137" s="3"/>
      <c r="L137" s="3"/>
      <c r="M137" s="3"/>
      <c r="N137" s="3"/>
      <c r="O137" s="3"/>
      <c r="P137" s="3"/>
      <c r="Q137" s="3"/>
      <c r="R137" s="3"/>
      <c r="S137" s="3"/>
      <c r="T137" s="3"/>
      <c r="U137" s="3"/>
      <c r="V137" s="3"/>
      <c r="W137" s="3"/>
      <c r="X137" s="3"/>
      <c r="Y137" s="3"/>
      <c r="Z137" s="3"/>
      <c r="AA137" s="3"/>
      <c r="AB137" s="3"/>
      <c r="AC137" s="3"/>
    </row>
    <row r="138" spans="1:29">
      <c r="A138" s="3"/>
      <c r="B138" s="3"/>
      <c r="C138" s="79">
        <f t="shared" si="8"/>
        <v>195</v>
      </c>
      <c r="D138" s="33">
        <f t="shared" si="9"/>
        <v>-18.418749999999999</v>
      </c>
      <c r="E138" s="15">
        <f t="shared" si="10"/>
        <v>0.33124999999999999</v>
      </c>
      <c r="F138" s="3"/>
      <c r="G138" s="3"/>
      <c r="H138" s="3"/>
      <c r="I138" s="3"/>
      <c r="J138" s="3"/>
      <c r="K138" s="3"/>
      <c r="L138" s="3"/>
      <c r="M138" s="3"/>
      <c r="N138" s="3"/>
      <c r="O138" s="3"/>
      <c r="P138" s="3"/>
      <c r="Q138" s="3"/>
      <c r="R138" s="3"/>
      <c r="S138" s="3"/>
      <c r="T138" s="3"/>
      <c r="U138" s="3"/>
      <c r="V138" s="3"/>
      <c r="W138" s="3"/>
      <c r="X138" s="3"/>
      <c r="Y138" s="3"/>
      <c r="Z138" s="3"/>
      <c r="AA138" s="3"/>
      <c r="AB138" s="3"/>
      <c r="AC138" s="3"/>
    </row>
    <row r="139" spans="1:29">
      <c r="A139" s="3"/>
      <c r="B139" s="3"/>
      <c r="C139" s="79">
        <f t="shared" si="8"/>
        <v>200</v>
      </c>
      <c r="D139" s="33">
        <f t="shared" si="9"/>
        <v>-17.2</v>
      </c>
      <c r="E139" s="15">
        <f t="shared" si="10"/>
        <v>0.2</v>
      </c>
      <c r="F139" s="3"/>
      <c r="G139" s="3"/>
      <c r="H139" s="3"/>
      <c r="I139" s="3"/>
      <c r="J139" s="3"/>
      <c r="K139" s="3"/>
      <c r="L139" s="3"/>
      <c r="M139" s="3"/>
      <c r="N139" s="3"/>
      <c r="O139" s="3"/>
      <c r="P139" s="3"/>
      <c r="Q139" s="3"/>
      <c r="R139" s="3"/>
      <c r="S139" s="3"/>
      <c r="T139" s="3"/>
      <c r="U139" s="3"/>
      <c r="V139" s="3"/>
      <c r="W139" s="3"/>
      <c r="X139" s="3"/>
      <c r="Y139" s="3"/>
      <c r="Z139" s="3"/>
      <c r="AA139" s="3"/>
      <c r="AB139" s="3"/>
      <c r="AC139" s="3"/>
    </row>
    <row r="140" spans="1:29">
      <c r="A140" s="3"/>
      <c r="B140" s="3"/>
      <c r="C140" s="79">
        <f t="shared" si="8"/>
        <v>205</v>
      </c>
      <c r="D140" s="33">
        <f t="shared" si="9"/>
        <v>-16.018750000000001</v>
      </c>
      <c r="E140" s="15">
        <f t="shared" si="10"/>
        <v>3.125E-2</v>
      </c>
      <c r="F140" s="3"/>
      <c r="G140" s="3" t="s">
        <v>715</v>
      </c>
      <c r="H140" s="3"/>
      <c r="I140" s="3"/>
      <c r="J140" s="3"/>
      <c r="K140" s="3"/>
      <c r="L140" s="3"/>
      <c r="M140" s="3"/>
      <c r="N140" s="3"/>
      <c r="O140" s="3"/>
      <c r="P140" s="3"/>
      <c r="Q140" s="3"/>
      <c r="R140" s="3"/>
      <c r="S140" s="3"/>
      <c r="T140" s="3"/>
      <c r="U140" s="3"/>
      <c r="V140" s="3"/>
      <c r="W140" s="3"/>
      <c r="X140" s="3"/>
      <c r="Y140" s="3"/>
      <c r="Z140" s="3"/>
      <c r="AA140" s="3"/>
      <c r="AB140" s="3"/>
      <c r="AC140" s="3"/>
    </row>
    <row r="141" spans="1:29">
      <c r="A141" s="3"/>
      <c r="B141" s="3"/>
      <c r="C141" s="79">
        <f t="shared" si="8"/>
        <v>210</v>
      </c>
      <c r="D141" s="33">
        <f t="shared" si="9"/>
        <v>-14.875</v>
      </c>
      <c r="E141" s="15">
        <f t="shared" si="10"/>
        <v>-0.17500000000000004</v>
      </c>
      <c r="F141" s="3"/>
      <c r="G141" s="3" t="s">
        <v>715</v>
      </c>
      <c r="H141" s="3"/>
      <c r="I141" s="3"/>
      <c r="J141" s="3"/>
      <c r="K141" s="3"/>
      <c r="L141" s="3"/>
      <c r="M141" s="3"/>
      <c r="N141" s="3"/>
      <c r="O141" s="3"/>
      <c r="P141" s="3"/>
      <c r="Q141" s="3"/>
      <c r="R141" s="3"/>
      <c r="S141" s="3"/>
      <c r="T141" s="3"/>
      <c r="U141" s="3"/>
      <c r="V141" s="3"/>
      <c r="W141" s="3"/>
      <c r="X141" s="3"/>
      <c r="Y141" s="3"/>
      <c r="Z141" s="3"/>
      <c r="AA141" s="3"/>
      <c r="AB141" s="3"/>
      <c r="AC141" s="3"/>
    </row>
    <row r="142" spans="1:29">
      <c r="A142" s="3"/>
      <c r="B142" s="3"/>
      <c r="C142" s="79">
        <f t="shared" si="8"/>
        <v>215</v>
      </c>
      <c r="D142" s="33">
        <f t="shared" si="9"/>
        <v>-13.768750000000001</v>
      </c>
      <c r="E142" s="15">
        <f t="shared" si="10"/>
        <v>-0.41875000000000007</v>
      </c>
      <c r="F142" s="3"/>
      <c r="G142" s="3" t="s">
        <v>715</v>
      </c>
      <c r="H142" s="3"/>
      <c r="I142" s="3"/>
      <c r="J142" s="3"/>
      <c r="K142" s="3"/>
      <c r="L142" s="3"/>
      <c r="M142" s="3"/>
      <c r="N142" s="3"/>
      <c r="O142" s="3"/>
      <c r="P142" s="3"/>
      <c r="Q142" s="3"/>
      <c r="R142" s="3"/>
      <c r="S142" s="3"/>
      <c r="T142" s="3"/>
      <c r="U142" s="3"/>
      <c r="V142" s="3"/>
      <c r="W142" s="3"/>
      <c r="X142" s="3"/>
      <c r="Y142" s="3"/>
      <c r="Z142" s="3"/>
      <c r="AA142" s="3"/>
      <c r="AB142" s="3"/>
      <c r="AC142" s="3"/>
    </row>
    <row r="143" spans="1:29">
      <c r="A143" s="3"/>
      <c r="B143" s="3"/>
      <c r="C143" s="79">
        <f t="shared" si="8"/>
        <v>220</v>
      </c>
      <c r="D143" s="33">
        <f t="shared" si="9"/>
        <v>-12.700000000000001</v>
      </c>
      <c r="E143" s="15">
        <f t="shared" si="10"/>
        <v>-0.7</v>
      </c>
      <c r="F143" s="3"/>
      <c r="G143" s="3" t="s">
        <v>715</v>
      </c>
      <c r="H143" s="3"/>
      <c r="I143" s="3"/>
      <c r="J143" s="3"/>
      <c r="K143" s="3"/>
      <c r="L143" s="3"/>
      <c r="M143" s="3"/>
      <c r="N143" s="3"/>
      <c r="O143" s="3"/>
      <c r="P143" s="3"/>
      <c r="Q143" s="3"/>
      <c r="R143" s="3"/>
      <c r="S143" s="3"/>
      <c r="T143" s="3"/>
      <c r="U143" s="3"/>
      <c r="V143" s="3"/>
      <c r="W143" s="3"/>
      <c r="X143" s="3"/>
      <c r="Y143" s="3"/>
      <c r="Z143" s="3"/>
      <c r="AA143" s="3"/>
      <c r="AB143" s="3"/>
      <c r="AC143" s="3"/>
    </row>
    <row r="144" spans="1:29">
      <c r="A144" s="3"/>
      <c r="B144" s="3"/>
      <c r="C144" s="79">
        <f t="shared" si="8"/>
        <v>225</v>
      </c>
      <c r="D144" s="33">
        <f t="shared" si="9"/>
        <v>-11.668750000000001</v>
      </c>
      <c r="E144" s="15">
        <f t="shared" si="10"/>
        <v>-1.01875</v>
      </c>
      <c r="F144" s="3"/>
      <c r="G144" s="3"/>
      <c r="H144" s="3"/>
      <c r="I144" s="3"/>
      <c r="J144" s="3"/>
      <c r="K144" s="3"/>
      <c r="L144" s="3"/>
      <c r="M144" s="3"/>
      <c r="N144" s="3"/>
      <c r="O144" s="3"/>
      <c r="P144" s="3"/>
      <c r="Q144" s="3"/>
      <c r="R144" s="3"/>
      <c r="S144" s="3"/>
      <c r="T144" s="3"/>
      <c r="U144" s="3"/>
      <c r="V144" s="3"/>
      <c r="W144" s="3"/>
      <c r="X144" s="3"/>
      <c r="Y144" s="3"/>
      <c r="Z144" s="3"/>
      <c r="AA144" s="3"/>
      <c r="AB144" s="3"/>
      <c r="AC144" s="3"/>
    </row>
    <row r="145" spans="1:29">
      <c r="A145" s="3"/>
      <c r="B145" s="3"/>
      <c r="C145" s="79">
        <f t="shared" si="8"/>
        <v>230</v>
      </c>
      <c r="D145" s="33">
        <f t="shared" si="9"/>
        <v>-10.675000000000001</v>
      </c>
      <c r="E145" s="15">
        <f t="shared" si="10"/>
        <v>-1.375</v>
      </c>
      <c r="F145" s="3"/>
      <c r="G145" s="3"/>
      <c r="H145" s="3"/>
      <c r="I145" s="3"/>
      <c r="J145" s="3"/>
      <c r="K145" s="3"/>
      <c r="L145" s="3"/>
      <c r="M145" s="3"/>
      <c r="N145" s="3"/>
      <c r="O145" s="3"/>
      <c r="P145" s="3"/>
      <c r="Q145" s="3"/>
      <c r="R145" s="3"/>
      <c r="S145" s="3"/>
      <c r="T145" s="3"/>
      <c r="U145" s="3"/>
      <c r="V145" s="3"/>
      <c r="W145" s="3"/>
      <c r="X145" s="3"/>
      <c r="Y145" s="3"/>
      <c r="Z145" s="3"/>
      <c r="AA145" s="3"/>
      <c r="AB145" s="3"/>
      <c r="AC145" s="3"/>
    </row>
    <row r="146" spans="1:29">
      <c r="A146" s="3"/>
      <c r="B146" s="3"/>
      <c r="C146" s="79">
        <f t="shared" si="8"/>
        <v>235</v>
      </c>
      <c r="D146" s="33">
        <f t="shared" si="9"/>
        <v>-9.71875</v>
      </c>
      <c r="E146" s="15">
        <f t="shared" si="10"/>
        <v>-1.7687500000000003</v>
      </c>
      <c r="F146" s="3" t="s">
        <v>715</v>
      </c>
      <c r="G146" s="3"/>
      <c r="H146" s="3"/>
      <c r="I146" s="3"/>
      <c r="J146" s="3"/>
      <c r="K146" s="3"/>
      <c r="L146" s="3"/>
      <c r="M146" s="3"/>
      <c r="N146" s="3"/>
      <c r="O146" s="3"/>
      <c r="P146" s="3"/>
      <c r="Q146" s="3"/>
      <c r="R146" s="3"/>
      <c r="S146" s="3"/>
      <c r="T146" s="3"/>
      <c r="U146" s="3"/>
      <c r="V146" s="3"/>
      <c r="W146" s="3"/>
      <c r="X146" s="3"/>
      <c r="Y146" s="3"/>
      <c r="Z146" s="3"/>
      <c r="AA146" s="3"/>
      <c r="AB146" s="3"/>
      <c r="AC146" s="3"/>
    </row>
    <row r="147" spans="1:29">
      <c r="A147" s="3"/>
      <c r="B147" s="3"/>
      <c r="C147" s="79">
        <f t="shared" si="8"/>
        <v>240</v>
      </c>
      <c r="D147" s="33">
        <f t="shared" si="9"/>
        <v>-8.8000000000000007</v>
      </c>
      <c r="E147" s="15">
        <f t="shared" si="10"/>
        <v>-2.2000000000000002</v>
      </c>
      <c r="F147" s="3"/>
      <c r="G147" s="3"/>
      <c r="H147" s="3"/>
      <c r="I147" s="3"/>
      <c r="J147" s="3"/>
      <c r="K147" s="3"/>
      <c r="L147" s="3"/>
      <c r="M147" s="3"/>
      <c r="N147" s="3"/>
      <c r="O147" s="3"/>
      <c r="P147" s="3"/>
      <c r="Q147" s="3"/>
      <c r="R147" s="3"/>
      <c r="S147" s="3"/>
      <c r="T147" s="3"/>
      <c r="U147" s="3"/>
      <c r="V147" s="3"/>
      <c r="W147" s="3"/>
      <c r="X147" s="3"/>
      <c r="Y147" s="3"/>
      <c r="Z147" s="3"/>
      <c r="AA147" s="3"/>
      <c r="AB147" s="3"/>
      <c r="AC147" s="3"/>
    </row>
    <row r="148" spans="1:29">
      <c r="A148" s="3"/>
      <c r="B148" s="3"/>
      <c r="C148" s="79">
        <f t="shared" si="8"/>
        <v>245</v>
      </c>
      <c r="D148" s="33">
        <f t="shared" si="9"/>
        <v>-7.9187500000000011</v>
      </c>
      <c r="E148" s="15">
        <f t="shared" si="10"/>
        <v>-2.6687500000000002</v>
      </c>
      <c r="F148" s="3"/>
      <c r="G148" s="3"/>
      <c r="H148" s="3"/>
      <c r="I148" s="3"/>
      <c r="J148" s="3"/>
      <c r="K148" s="3"/>
      <c r="L148" s="3"/>
      <c r="M148" s="3"/>
      <c r="N148" s="3"/>
      <c r="O148" s="3"/>
      <c r="P148" s="3"/>
      <c r="Q148" s="3"/>
      <c r="R148" s="3"/>
      <c r="S148" s="3"/>
      <c r="T148" s="3"/>
      <c r="U148" s="3"/>
      <c r="V148" s="3"/>
      <c r="W148" s="3"/>
      <c r="X148" s="3"/>
      <c r="Y148" s="3"/>
      <c r="Z148" s="3"/>
      <c r="AA148" s="3"/>
      <c r="AB148" s="3"/>
      <c r="AC148" s="3"/>
    </row>
    <row r="149" spans="1:29">
      <c r="A149" s="3"/>
      <c r="B149" s="3"/>
      <c r="C149" s="79">
        <f t="shared" si="8"/>
        <v>250</v>
      </c>
      <c r="D149" s="33">
        <f t="shared" si="9"/>
        <v>-7.0750000000000011</v>
      </c>
      <c r="E149" s="15">
        <f t="shared" si="10"/>
        <v>-3.1750000000000003</v>
      </c>
      <c r="F149" s="3"/>
      <c r="G149" s="3"/>
      <c r="H149" s="3"/>
      <c r="I149" s="3"/>
      <c r="J149" s="3"/>
      <c r="K149" s="3"/>
      <c r="L149" s="3"/>
      <c r="M149" s="3"/>
      <c r="N149" s="3"/>
      <c r="O149" s="3"/>
      <c r="P149" s="3"/>
      <c r="Q149" s="3"/>
      <c r="R149" s="3"/>
      <c r="S149" s="3"/>
      <c r="T149" s="3"/>
      <c r="U149" s="3"/>
      <c r="V149" s="3"/>
      <c r="W149" s="3"/>
      <c r="X149" s="3"/>
      <c r="Y149" s="3"/>
      <c r="Z149" s="3"/>
      <c r="AA149" s="3"/>
      <c r="AB149" s="3"/>
      <c r="AC149" s="3"/>
    </row>
    <row r="150" spans="1:29">
      <c r="A150" s="3"/>
      <c r="B150" s="3"/>
      <c r="C150" s="79">
        <f t="shared" si="8"/>
        <v>255</v>
      </c>
      <c r="D150" s="33">
        <f t="shared" si="9"/>
        <v>-6.2687500000000007</v>
      </c>
      <c r="E150" s="15">
        <f t="shared" si="10"/>
        <v>-3.71875</v>
      </c>
      <c r="F150" s="3"/>
      <c r="G150" s="3"/>
      <c r="H150" s="3"/>
      <c r="I150" s="3"/>
      <c r="J150" s="3"/>
      <c r="K150" s="3"/>
      <c r="L150" s="3"/>
      <c r="M150" s="3"/>
      <c r="N150" s="3"/>
      <c r="O150" s="3"/>
      <c r="P150" s="3"/>
      <c r="Q150" s="3"/>
      <c r="R150" s="3"/>
      <c r="S150" s="3"/>
      <c r="T150" s="3"/>
      <c r="U150" s="3"/>
      <c r="V150" s="3"/>
      <c r="W150" s="3"/>
      <c r="X150" s="3"/>
      <c r="Y150" s="3"/>
      <c r="Z150" s="3"/>
      <c r="AA150" s="3"/>
      <c r="AB150" s="3"/>
      <c r="AC150" s="3"/>
    </row>
    <row r="151" spans="1:29">
      <c r="A151" s="3"/>
      <c r="B151" s="3"/>
      <c r="C151" s="79">
        <f t="shared" si="8"/>
        <v>260</v>
      </c>
      <c r="D151" s="33">
        <f t="shared" si="9"/>
        <v>-5.5</v>
      </c>
      <c r="E151" s="15">
        <f t="shared" si="10"/>
        <v>-4.3</v>
      </c>
      <c r="F151" s="3"/>
      <c r="G151" s="3"/>
      <c r="H151" s="3"/>
      <c r="I151" s="3"/>
      <c r="J151" s="3"/>
      <c r="K151" s="3"/>
      <c r="L151" s="3"/>
      <c r="M151" s="3"/>
      <c r="N151" s="3"/>
      <c r="O151" s="3"/>
      <c r="P151" s="3"/>
      <c r="Q151" s="3"/>
      <c r="R151" s="3"/>
      <c r="S151" s="3"/>
      <c r="T151" s="3"/>
      <c r="U151" s="3"/>
      <c r="V151" s="3"/>
      <c r="W151" s="3"/>
      <c r="X151" s="3"/>
      <c r="Y151" s="3"/>
      <c r="Z151" s="3"/>
      <c r="AA151" s="3"/>
      <c r="AB151" s="3"/>
      <c r="AC151" s="3"/>
    </row>
    <row r="152" spans="1:29">
      <c r="A152" s="3"/>
      <c r="B152" s="3"/>
      <c r="C152" s="79">
        <f t="shared" si="8"/>
        <v>265</v>
      </c>
      <c r="D152" s="33">
        <f t="shared" si="9"/>
        <v>-4.7687499999999998</v>
      </c>
      <c r="E152" s="15">
        <f t="shared" si="10"/>
        <v>-4.9187500000000002</v>
      </c>
      <c r="F152" s="3"/>
      <c r="G152" s="3"/>
      <c r="H152" s="3"/>
      <c r="I152" s="3"/>
      <c r="J152" s="3"/>
      <c r="K152" s="3"/>
      <c r="L152" s="3"/>
      <c r="M152" s="3"/>
      <c r="N152" s="3"/>
      <c r="O152" s="3"/>
      <c r="P152" s="3"/>
      <c r="Q152" s="3"/>
      <c r="R152" s="3"/>
      <c r="S152" s="3"/>
      <c r="T152" s="3"/>
      <c r="U152" s="3"/>
      <c r="V152" s="3"/>
      <c r="W152" s="3"/>
      <c r="X152" s="3"/>
      <c r="Y152" s="3"/>
      <c r="Z152" s="3"/>
      <c r="AA152" s="3"/>
      <c r="AB152" s="3"/>
      <c r="AC152" s="3"/>
    </row>
    <row r="153" spans="1:29">
      <c r="A153" s="3"/>
      <c r="B153" s="3"/>
      <c r="C153" s="79">
        <f t="shared" si="8"/>
        <v>270</v>
      </c>
      <c r="D153" s="33">
        <f t="shared" si="9"/>
        <v>-4.0750000000000002</v>
      </c>
      <c r="E153" s="15">
        <f t="shared" si="10"/>
        <v>-5.5750000000000002</v>
      </c>
      <c r="F153" s="3"/>
      <c r="G153" s="3"/>
      <c r="H153" s="3"/>
      <c r="I153" s="3"/>
      <c r="J153" s="3"/>
      <c r="K153" s="3"/>
      <c r="L153" s="3"/>
      <c r="M153" s="3"/>
      <c r="N153" s="3"/>
      <c r="O153" s="3"/>
      <c r="P153" s="3"/>
      <c r="Q153" s="3"/>
      <c r="R153" s="3"/>
      <c r="S153" s="3"/>
      <c r="T153" s="3"/>
      <c r="U153" s="3"/>
      <c r="V153" s="3"/>
      <c r="W153" s="3"/>
      <c r="X153" s="3"/>
      <c r="Y153" s="3"/>
      <c r="Z153" s="3"/>
      <c r="AA153" s="3"/>
      <c r="AB153" s="3"/>
      <c r="AC153" s="3"/>
    </row>
    <row r="154" spans="1:29">
      <c r="A154" s="3"/>
      <c r="B154" s="3"/>
      <c r="C154" s="79">
        <f t="shared" si="8"/>
        <v>275</v>
      </c>
      <c r="D154" s="33">
        <f t="shared" si="9"/>
        <v>-3.4187500000000002</v>
      </c>
      <c r="E154" s="15">
        <f t="shared" si="10"/>
        <v>-6.2687499999999998</v>
      </c>
      <c r="F154" s="3"/>
      <c r="G154" s="3"/>
      <c r="H154" s="3"/>
      <c r="I154" s="3"/>
      <c r="J154" s="3"/>
      <c r="K154" s="3"/>
      <c r="L154" s="3"/>
      <c r="M154" s="3"/>
      <c r="N154" s="3"/>
      <c r="O154" s="3"/>
      <c r="P154" s="3"/>
      <c r="Q154" s="3"/>
      <c r="R154" s="3"/>
      <c r="S154" s="3"/>
      <c r="T154" s="3"/>
      <c r="U154" s="3"/>
      <c r="V154" s="3"/>
      <c r="W154" s="3"/>
      <c r="X154" s="3"/>
      <c r="Y154" s="3"/>
      <c r="Z154" s="3"/>
      <c r="AA154" s="3"/>
      <c r="AB154" s="3"/>
      <c r="AC154" s="3"/>
    </row>
    <row r="155" spans="1:29">
      <c r="A155" s="3"/>
      <c r="B155" s="3"/>
      <c r="C155" s="79">
        <f t="shared" si="8"/>
        <v>280</v>
      </c>
      <c r="D155" s="33">
        <f t="shared" si="9"/>
        <v>-2.8</v>
      </c>
      <c r="E155" s="15">
        <f t="shared" si="10"/>
        <v>-7</v>
      </c>
      <c r="F155" s="3"/>
      <c r="G155" s="3"/>
      <c r="H155" s="3"/>
      <c r="I155" s="3"/>
      <c r="J155" s="3"/>
      <c r="K155" s="3"/>
      <c r="L155" s="3"/>
      <c r="M155" s="3"/>
      <c r="N155" s="3"/>
      <c r="O155" s="3"/>
      <c r="P155" s="3"/>
      <c r="Q155" s="3"/>
      <c r="R155" s="3"/>
      <c r="S155" s="3"/>
      <c r="T155" s="3"/>
      <c r="U155" s="3"/>
      <c r="V155" s="3"/>
      <c r="W155" s="3"/>
      <c r="X155" s="3"/>
      <c r="Y155" s="3"/>
      <c r="Z155" s="3"/>
      <c r="AA155" s="3"/>
      <c r="AB155" s="3"/>
      <c r="AC155" s="3"/>
    </row>
    <row r="156" spans="1:29">
      <c r="A156" s="3"/>
      <c r="B156" s="3"/>
      <c r="C156" s="79">
        <f t="shared" si="8"/>
        <v>285</v>
      </c>
      <c r="D156" s="33">
        <f t="shared" si="9"/>
        <v>-2.21875</v>
      </c>
      <c r="E156" s="15">
        <f t="shared" si="10"/>
        <v>-7.7687500000000007</v>
      </c>
      <c r="F156" s="3"/>
      <c r="G156" s="3"/>
      <c r="H156" s="3"/>
      <c r="I156" s="3"/>
      <c r="J156" s="3"/>
      <c r="K156" s="3"/>
      <c r="L156" s="3"/>
      <c r="M156" s="3"/>
      <c r="N156" s="3"/>
      <c r="O156" s="3"/>
      <c r="P156" s="3"/>
      <c r="Q156" s="3"/>
      <c r="R156" s="3"/>
      <c r="S156" s="3"/>
      <c r="T156" s="3"/>
      <c r="U156" s="3"/>
      <c r="V156" s="3"/>
      <c r="W156" s="3"/>
      <c r="X156" s="3"/>
      <c r="Y156" s="3"/>
      <c r="Z156" s="3"/>
      <c r="AA156" s="3"/>
      <c r="AB156" s="3"/>
      <c r="AC156" s="3"/>
    </row>
    <row r="157" spans="1:29">
      <c r="A157" s="3"/>
      <c r="B157" s="3"/>
      <c r="C157" s="79">
        <f t="shared" si="8"/>
        <v>290</v>
      </c>
      <c r="D157" s="33">
        <f t="shared" si="9"/>
        <v>-1.6750000000000003</v>
      </c>
      <c r="E157" s="15">
        <f t="shared" si="10"/>
        <v>-8.5750000000000011</v>
      </c>
      <c r="F157" s="3"/>
      <c r="G157" s="3"/>
      <c r="H157" s="3"/>
      <c r="I157" s="3"/>
      <c r="J157" s="3"/>
      <c r="K157" s="3"/>
      <c r="L157" s="3"/>
      <c r="M157" s="3"/>
      <c r="N157" s="3"/>
      <c r="O157" s="3"/>
      <c r="P157" s="3"/>
      <c r="Q157" s="3"/>
      <c r="R157" s="3"/>
      <c r="S157" s="3"/>
      <c r="T157" s="3"/>
      <c r="U157" s="3"/>
      <c r="V157" s="3"/>
      <c r="W157" s="3"/>
      <c r="X157" s="3"/>
      <c r="Y157" s="3"/>
      <c r="Z157" s="3"/>
      <c r="AA157" s="3"/>
      <c r="AB157" s="3"/>
      <c r="AC157" s="3"/>
    </row>
    <row r="158" spans="1:29">
      <c r="A158" s="3"/>
      <c r="B158" s="3"/>
      <c r="C158" s="79">
        <f t="shared" si="8"/>
        <v>295</v>
      </c>
      <c r="D158" s="33">
        <f t="shared" si="9"/>
        <v>-1.1687500000000002</v>
      </c>
      <c r="E158" s="15">
        <f t="shared" si="10"/>
        <v>-9.4187500000000011</v>
      </c>
      <c r="F158" s="3"/>
      <c r="G158" s="3"/>
      <c r="H158" s="3"/>
      <c r="I158" s="3"/>
      <c r="J158" s="3"/>
      <c r="K158" s="3"/>
      <c r="L158" s="3"/>
      <c r="M158" s="3"/>
      <c r="N158" s="3"/>
      <c r="O158" s="3"/>
      <c r="P158" s="3"/>
      <c r="Q158" s="3"/>
      <c r="R158" s="3"/>
      <c r="S158" s="3"/>
      <c r="T158" s="3"/>
      <c r="U158" s="3"/>
      <c r="V158" s="3"/>
      <c r="W158" s="3"/>
      <c r="X158" s="3"/>
      <c r="Y158" s="3"/>
      <c r="Z158" s="3"/>
      <c r="AA158" s="3"/>
      <c r="AB158" s="3"/>
      <c r="AC158" s="3"/>
    </row>
    <row r="159" spans="1:29">
      <c r="A159" s="3"/>
      <c r="B159" s="3"/>
      <c r="C159" s="79">
        <f t="shared" si="8"/>
        <v>300</v>
      </c>
      <c r="D159" s="33">
        <f t="shared" si="9"/>
        <v>-0.70000000000000018</v>
      </c>
      <c r="E159" s="15">
        <f t="shared" si="10"/>
        <v>-10.3</v>
      </c>
      <c r="F159" s="3"/>
      <c r="G159" s="3"/>
      <c r="H159" s="3"/>
      <c r="I159" s="3"/>
      <c r="J159" s="3"/>
      <c r="K159" s="3"/>
      <c r="L159" s="3"/>
      <c r="M159" s="3"/>
      <c r="N159" s="3"/>
      <c r="O159" s="3"/>
      <c r="P159" s="3"/>
      <c r="Q159" s="3"/>
      <c r="R159" s="3"/>
      <c r="S159" s="3"/>
      <c r="T159" s="3"/>
      <c r="U159" s="3"/>
      <c r="V159" s="3"/>
      <c r="W159" s="3"/>
      <c r="X159" s="3"/>
      <c r="Y159" s="3"/>
      <c r="Z159" s="3"/>
      <c r="AA159" s="3"/>
      <c r="AB159" s="3"/>
      <c r="AC159" s="3"/>
    </row>
    <row r="160" spans="1:29">
      <c r="A160" s="3"/>
      <c r="B160" s="3"/>
      <c r="C160" s="79">
        <f t="shared" si="8"/>
        <v>305</v>
      </c>
      <c r="D160" s="33">
        <f t="shared" si="9"/>
        <v>-0.26875000000000027</v>
      </c>
      <c r="E160" s="15">
        <f t="shared" si="10"/>
        <v>-11.21875</v>
      </c>
      <c r="F160" s="3"/>
      <c r="G160" s="3"/>
      <c r="H160" s="3"/>
      <c r="I160" s="3"/>
      <c r="J160" s="3"/>
      <c r="K160" s="3"/>
      <c r="L160" s="3"/>
      <c r="M160" s="3"/>
      <c r="N160" s="3"/>
      <c r="O160" s="3"/>
      <c r="P160" s="3"/>
      <c r="Q160" s="3"/>
      <c r="R160" s="3"/>
      <c r="S160" s="3"/>
      <c r="T160" s="3"/>
      <c r="U160" s="3"/>
      <c r="V160" s="3"/>
      <c r="W160" s="3"/>
      <c r="X160" s="3"/>
      <c r="Y160" s="3"/>
      <c r="Z160" s="3"/>
      <c r="AA160" s="3"/>
      <c r="AB160" s="3"/>
      <c r="AC160" s="3"/>
    </row>
    <row r="161" spans="1:29">
      <c r="A161" s="3"/>
      <c r="B161" s="3"/>
      <c r="C161" s="79">
        <f t="shared" si="8"/>
        <v>310</v>
      </c>
      <c r="D161" s="33">
        <f t="shared" si="9"/>
        <v>0.125</v>
      </c>
      <c r="E161" s="15">
        <f t="shared" si="10"/>
        <v>-12.175000000000001</v>
      </c>
      <c r="F161" s="3"/>
      <c r="G161" s="3"/>
      <c r="H161" s="3"/>
      <c r="I161" s="3"/>
      <c r="J161" s="3"/>
      <c r="K161" s="3"/>
      <c r="L161" s="3"/>
      <c r="M161" s="3"/>
      <c r="N161" s="3"/>
      <c r="O161" s="3"/>
      <c r="P161" s="3"/>
      <c r="Q161" s="3"/>
      <c r="R161" s="3"/>
      <c r="S161" s="3"/>
      <c r="T161" s="3"/>
      <c r="U161" s="3"/>
      <c r="V161" s="3"/>
      <c r="W161" s="3"/>
      <c r="X161" s="3"/>
      <c r="Y161" s="3"/>
      <c r="Z161" s="3"/>
      <c r="AA161" s="3"/>
      <c r="AB161" s="3"/>
      <c r="AC161" s="3"/>
    </row>
    <row r="162" spans="1:29">
      <c r="A162" s="3"/>
      <c r="B162" s="3"/>
      <c r="C162" s="79">
        <f t="shared" si="8"/>
        <v>315</v>
      </c>
      <c r="D162" s="33">
        <f t="shared" si="9"/>
        <v>0.48124999999999996</v>
      </c>
      <c r="E162" s="15">
        <f t="shared" si="10"/>
        <v>-13.168750000000001</v>
      </c>
      <c r="F162" s="3"/>
      <c r="G162" s="3"/>
      <c r="H162" s="3"/>
      <c r="I162" s="3"/>
      <c r="J162" s="3"/>
      <c r="K162" s="3"/>
      <c r="L162" s="3"/>
      <c r="M162" s="3"/>
      <c r="N162" s="3"/>
      <c r="O162" s="3"/>
      <c r="P162" s="3"/>
      <c r="Q162" s="3"/>
      <c r="R162" s="3"/>
      <c r="S162" s="3"/>
      <c r="T162" s="3"/>
      <c r="U162" s="3"/>
      <c r="V162" s="3"/>
      <c r="W162" s="3"/>
      <c r="X162" s="3"/>
      <c r="Y162" s="3"/>
      <c r="Z162" s="3"/>
      <c r="AA162" s="3"/>
      <c r="AB162" s="3"/>
      <c r="AC162" s="3"/>
    </row>
    <row r="163" spans="1:29">
      <c r="A163" s="3"/>
      <c r="B163" s="3"/>
      <c r="C163" s="79">
        <f t="shared" si="8"/>
        <v>320</v>
      </c>
      <c r="D163" s="33">
        <f t="shared" si="9"/>
        <v>0.8</v>
      </c>
      <c r="E163" s="15">
        <f t="shared" si="10"/>
        <v>-14.200000000000001</v>
      </c>
      <c r="F163" s="3"/>
      <c r="G163" s="3"/>
      <c r="H163" s="3"/>
      <c r="I163" s="3"/>
      <c r="J163" s="3"/>
      <c r="K163" s="3"/>
      <c r="L163" s="3"/>
      <c r="M163" s="3"/>
      <c r="N163" s="3"/>
      <c r="O163" s="3"/>
      <c r="P163" s="3"/>
      <c r="Q163" s="3"/>
      <c r="R163" s="3"/>
      <c r="S163" s="3"/>
      <c r="T163" s="3"/>
      <c r="U163" s="3"/>
      <c r="V163" s="3"/>
      <c r="W163" s="3"/>
      <c r="X163" s="3"/>
      <c r="Y163" s="3"/>
      <c r="Z163" s="3"/>
      <c r="AA163" s="3"/>
      <c r="AB163" s="3"/>
      <c r="AC163" s="3"/>
    </row>
    <row r="164" spans="1:29">
      <c r="A164" s="3"/>
      <c r="B164" s="3"/>
      <c r="C164" s="79">
        <f t="shared" si="8"/>
        <v>325</v>
      </c>
      <c r="D164" s="33">
        <f t="shared" si="9"/>
        <v>1.0812499999999998</v>
      </c>
      <c r="E164" s="15">
        <f t="shared" si="10"/>
        <v>-15.268750000000001</v>
      </c>
      <c r="F164" s="3"/>
      <c r="G164" s="3"/>
      <c r="H164" s="3"/>
      <c r="I164" s="3"/>
      <c r="J164" s="3"/>
      <c r="K164" s="3"/>
      <c r="L164" s="3"/>
      <c r="M164" s="3"/>
      <c r="N164" s="3"/>
      <c r="O164" s="3"/>
      <c r="P164" s="3"/>
      <c r="Q164" s="3"/>
      <c r="R164" s="3"/>
      <c r="S164" s="3"/>
      <c r="T164" s="3"/>
      <c r="U164" s="3"/>
      <c r="V164" s="3"/>
      <c r="W164" s="3"/>
      <c r="X164" s="3"/>
      <c r="Y164" s="3"/>
      <c r="Z164" s="3"/>
      <c r="AA164" s="3"/>
      <c r="AB164" s="3"/>
      <c r="AC164" s="3"/>
    </row>
    <row r="165" spans="1:29">
      <c r="A165" s="3"/>
      <c r="B165" s="3"/>
      <c r="C165" s="79">
        <f t="shared" si="8"/>
        <v>330</v>
      </c>
      <c r="D165" s="33">
        <f t="shared" si="9"/>
        <v>1.325</v>
      </c>
      <c r="E165" s="15">
        <f t="shared" si="10"/>
        <v>-16.375</v>
      </c>
      <c r="F165" s="3"/>
      <c r="G165" s="3"/>
      <c r="H165" s="3"/>
      <c r="I165" s="3"/>
      <c r="J165" s="3"/>
      <c r="K165" s="3"/>
      <c r="L165" s="3"/>
      <c r="M165" s="3"/>
      <c r="N165" s="3"/>
      <c r="O165" s="3"/>
      <c r="P165" s="3"/>
      <c r="Q165" s="3"/>
      <c r="R165" s="3"/>
      <c r="S165" s="3"/>
      <c r="T165" s="3"/>
      <c r="U165" s="3"/>
      <c r="V165" s="3"/>
      <c r="W165" s="3"/>
      <c r="X165" s="3"/>
      <c r="Y165" s="3"/>
      <c r="Z165" s="3"/>
      <c r="AA165" s="3"/>
      <c r="AB165" s="3"/>
      <c r="AC165" s="3"/>
    </row>
    <row r="166" spans="1:29">
      <c r="A166" s="3"/>
      <c r="B166" s="3"/>
      <c r="C166" s="79">
        <f t="shared" si="8"/>
        <v>335</v>
      </c>
      <c r="D166" s="33">
        <f t="shared" si="9"/>
        <v>1.53125</v>
      </c>
      <c r="E166" s="15">
        <f t="shared" si="10"/>
        <v>-17.518750000000001</v>
      </c>
      <c r="F166" s="3"/>
      <c r="G166" s="3"/>
      <c r="H166" s="3"/>
      <c r="I166" s="3"/>
      <c r="J166" s="3"/>
      <c r="K166" s="3"/>
      <c r="L166" s="3"/>
      <c r="M166" s="3"/>
      <c r="N166" s="3"/>
      <c r="O166" s="3"/>
      <c r="P166" s="3"/>
      <c r="Q166" s="3"/>
      <c r="R166" s="3"/>
      <c r="S166" s="3"/>
      <c r="T166" s="3"/>
      <c r="U166" s="3"/>
      <c r="V166" s="3"/>
      <c r="W166" s="3"/>
      <c r="X166" s="3"/>
      <c r="Y166" s="3"/>
      <c r="Z166" s="3"/>
      <c r="AA166" s="3"/>
      <c r="AB166" s="3"/>
      <c r="AC166" s="3"/>
    </row>
    <row r="167" spans="1:29">
      <c r="A167" s="3"/>
      <c r="B167" s="3"/>
      <c r="C167" s="79">
        <f t="shared" si="8"/>
        <v>340</v>
      </c>
      <c r="D167" s="33">
        <f t="shared" si="9"/>
        <v>1.7</v>
      </c>
      <c r="E167" s="15">
        <f t="shared" si="10"/>
        <v>-18.7</v>
      </c>
      <c r="F167" s="3"/>
      <c r="G167" s="3"/>
      <c r="H167" s="3"/>
      <c r="I167" s="3"/>
      <c r="J167" s="3"/>
      <c r="K167" s="3"/>
      <c r="L167" s="3"/>
      <c r="M167" s="3"/>
      <c r="N167" s="3"/>
      <c r="O167" s="3"/>
      <c r="P167" s="3"/>
      <c r="Q167" s="3"/>
      <c r="R167" s="3"/>
      <c r="S167" s="3"/>
      <c r="T167" s="3"/>
      <c r="U167" s="3"/>
      <c r="V167" s="3"/>
      <c r="W167" s="3"/>
      <c r="X167" s="3"/>
      <c r="Y167" s="3"/>
      <c r="Z167" s="3"/>
      <c r="AA167" s="3"/>
      <c r="AB167" s="3"/>
      <c r="AC167" s="3"/>
    </row>
    <row r="168" spans="1:29">
      <c r="A168" s="3"/>
      <c r="B168" s="3"/>
      <c r="C168" s="79">
        <f t="shared" si="8"/>
        <v>345</v>
      </c>
      <c r="D168" s="33">
        <f t="shared" si="9"/>
        <v>1.83125</v>
      </c>
      <c r="E168" s="15">
        <f t="shared" si="10"/>
        <v>-19.918749999999999</v>
      </c>
      <c r="F168" s="3"/>
      <c r="G168" s="3"/>
      <c r="H168" s="3"/>
      <c r="I168" s="3"/>
      <c r="J168" s="3"/>
      <c r="K168" s="3"/>
      <c r="L168" s="3"/>
      <c r="M168" s="3"/>
      <c r="N168" s="3"/>
      <c r="O168" s="3"/>
      <c r="P168" s="3"/>
      <c r="Q168" s="3"/>
      <c r="R168" s="3"/>
      <c r="S168" s="3"/>
      <c r="T168" s="3"/>
      <c r="U168" s="3"/>
      <c r="V168" s="3"/>
      <c r="W168" s="3"/>
      <c r="X168" s="3"/>
      <c r="Y168" s="3"/>
      <c r="Z168" s="3"/>
      <c r="AA168" s="3"/>
      <c r="AB168" s="3"/>
      <c r="AC168" s="3"/>
    </row>
    <row r="169" spans="1:29">
      <c r="A169" s="3"/>
      <c r="B169" s="3"/>
      <c r="C169" s="79">
        <f t="shared" si="8"/>
        <v>350</v>
      </c>
      <c r="D169" s="33">
        <f t="shared" si="9"/>
        <v>1.925</v>
      </c>
      <c r="E169" s="15">
        <f t="shared" si="10"/>
        <v>-21.175000000000001</v>
      </c>
      <c r="F169" s="3"/>
      <c r="G169" s="3"/>
      <c r="H169" s="3"/>
      <c r="I169" s="3"/>
      <c r="J169" s="3"/>
      <c r="K169" s="3"/>
      <c r="L169" s="3"/>
      <c r="M169" s="3"/>
      <c r="N169" s="3"/>
      <c r="O169" s="3"/>
      <c r="P169" s="3"/>
      <c r="Q169" s="3"/>
      <c r="R169" s="3"/>
      <c r="S169" s="3"/>
      <c r="T169" s="3"/>
      <c r="U169" s="3"/>
      <c r="V169" s="3"/>
      <c r="W169" s="3"/>
      <c r="X169" s="3"/>
      <c r="Y169" s="3"/>
      <c r="Z169" s="3"/>
      <c r="AA169" s="3"/>
      <c r="AB169" s="3"/>
      <c r="AC169" s="3"/>
    </row>
    <row r="170" spans="1:29">
      <c r="A170" s="3"/>
      <c r="B170" s="3"/>
      <c r="C170" s="79">
        <f t="shared" si="8"/>
        <v>355</v>
      </c>
      <c r="D170" s="33">
        <f t="shared" si="9"/>
        <v>1.98125</v>
      </c>
      <c r="E170" s="15">
        <f t="shared" si="10"/>
        <v>-22.46875</v>
      </c>
      <c r="F170" s="3"/>
      <c r="G170" s="3"/>
      <c r="H170" s="3"/>
      <c r="I170" s="3"/>
      <c r="J170" s="3"/>
      <c r="K170" s="3"/>
      <c r="L170" s="3"/>
      <c r="M170" s="3"/>
      <c r="N170" s="3"/>
      <c r="O170" s="3"/>
      <c r="P170" s="3"/>
      <c r="Q170" s="3"/>
      <c r="R170" s="3"/>
      <c r="S170" s="3"/>
      <c r="T170" s="3"/>
      <c r="U170" s="3"/>
      <c r="V170" s="3"/>
      <c r="W170" s="3"/>
      <c r="X170" s="3"/>
      <c r="Y170" s="3"/>
      <c r="Z170" s="3"/>
      <c r="AA170" s="3"/>
      <c r="AB170" s="3"/>
      <c r="AC170" s="3"/>
    </row>
    <row r="171" spans="1:29">
      <c r="A171" s="3"/>
      <c r="B171" s="3"/>
      <c r="C171" s="79">
        <v>360</v>
      </c>
      <c r="D171" s="33">
        <f t="shared" si="9"/>
        <v>2</v>
      </c>
      <c r="E171" s="15">
        <f>0.5-0.00075*-(180-C171)^2</f>
        <v>-23.8</v>
      </c>
      <c r="F171" s="3"/>
      <c r="G171" s="3"/>
      <c r="H171" s="3"/>
      <c r="I171" s="3"/>
      <c r="J171" s="3"/>
      <c r="K171" s="3"/>
      <c r="L171" s="3"/>
      <c r="M171" s="3"/>
      <c r="N171" s="3"/>
      <c r="O171" s="3"/>
      <c r="P171" s="3"/>
      <c r="Q171" s="3"/>
      <c r="R171" s="3"/>
      <c r="S171" s="3"/>
      <c r="T171" s="3"/>
      <c r="U171" s="3"/>
      <c r="V171" s="3"/>
      <c r="W171" s="3"/>
      <c r="X171" s="3"/>
      <c r="Y171" s="3"/>
      <c r="Z171" s="3"/>
      <c r="AA171" s="3"/>
      <c r="AB171" s="3"/>
      <c r="AC171" s="3"/>
    </row>
    <row r="172" spans="1:29">
      <c r="A172" s="3"/>
      <c r="B172" s="3"/>
      <c r="C172" s="79"/>
      <c r="D172" s="33"/>
      <c r="E172" s="15"/>
      <c r="F172" s="3"/>
      <c r="G172" s="3"/>
      <c r="H172" s="3"/>
      <c r="I172" s="3"/>
      <c r="J172" s="3"/>
      <c r="K172" s="3"/>
      <c r="L172" s="3"/>
      <c r="M172" s="3"/>
      <c r="N172" s="3"/>
      <c r="O172" s="3"/>
      <c r="P172" s="3"/>
      <c r="Q172" s="3"/>
      <c r="R172" s="3"/>
      <c r="S172" s="3"/>
      <c r="T172" s="3"/>
      <c r="U172" s="3"/>
      <c r="V172" s="3"/>
      <c r="W172" s="3"/>
      <c r="X172" s="3"/>
      <c r="Y172" s="3"/>
      <c r="Z172" s="3"/>
      <c r="AA172" s="3"/>
      <c r="AB172" s="3"/>
      <c r="AC172" s="3"/>
    </row>
    <row r="173" spans="1:29">
      <c r="A173" s="3"/>
      <c r="B173" s="3"/>
      <c r="C173" s="79"/>
      <c r="D173" s="33"/>
      <c r="E173" s="15"/>
      <c r="F173" s="3"/>
      <c r="G173" s="3"/>
      <c r="H173" s="3"/>
      <c r="I173" s="3"/>
      <c r="J173" s="3"/>
      <c r="K173" s="3"/>
      <c r="L173" s="3"/>
      <c r="M173" s="3"/>
      <c r="N173" s="3"/>
      <c r="O173" s="3"/>
      <c r="P173" s="3"/>
      <c r="Q173" s="3"/>
      <c r="R173" s="3"/>
      <c r="S173" s="3"/>
      <c r="T173" s="3"/>
      <c r="U173" s="3"/>
      <c r="V173" s="3"/>
      <c r="W173" s="3"/>
      <c r="X173" s="3"/>
      <c r="Y173" s="3"/>
      <c r="Z173" s="3"/>
      <c r="AA173" s="3"/>
      <c r="AB173" s="3"/>
      <c r="AC173" s="3"/>
    </row>
    <row r="174" spans="1:29">
      <c r="A174" s="3"/>
      <c r="B174" s="31" t="s">
        <v>715</v>
      </c>
      <c r="C174" s="3"/>
      <c r="D174" s="548" t="s">
        <v>62</v>
      </c>
      <c r="E174" s="549" t="s">
        <v>154</v>
      </c>
      <c r="F174" s="3"/>
      <c r="G174" s="3"/>
      <c r="H174" s="3"/>
      <c r="I174" s="3"/>
      <c r="J174" s="3"/>
      <c r="K174" s="3"/>
      <c r="L174" s="3"/>
      <c r="M174" s="3"/>
      <c r="N174" s="3"/>
      <c r="O174" s="3"/>
      <c r="P174" s="3"/>
      <c r="Q174" s="3"/>
      <c r="R174" s="3"/>
      <c r="S174" s="3"/>
      <c r="T174" s="3"/>
      <c r="U174" s="3"/>
      <c r="V174" s="3"/>
      <c r="W174" s="3"/>
      <c r="X174" s="3"/>
      <c r="Y174" s="3"/>
      <c r="Z174" s="3"/>
      <c r="AA174" s="3"/>
      <c r="AB174" s="3"/>
      <c r="AC174" s="3"/>
    </row>
    <row r="175" spans="1:29">
      <c r="A175" s="3"/>
      <c r="B175" s="542" t="s">
        <v>573</v>
      </c>
      <c r="C175" s="446" t="s">
        <v>153</v>
      </c>
      <c r="D175" s="547" t="s">
        <v>155</v>
      </c>
      <c r="E175" s="547" t="s">
        <v>155</v>
      </c>
      <c r="F175" s="858"/>
      <c r="G175" s="418"/>
      <c r="H175" s="418"/>
      <c r="I175" s="418"/>
      <c r="J175" s="418"/>
      <c r="K175" s="418"/>
      <c r="L175" s="418"/>
      <c r="M175" s="101"/>
      <c r="N175" s="101"/>
      <c r="O175" s="3"/>
      <c r="P175" s="3"/>
      <c r="Q175" s="3"/>
      <c r="R175" s="3"/>
      <c r="S175" s="3"/>
      <c r="T175" s="3"/>
      <c r="U175" s="3"/>
      <c r="V175" s="3"/>
      <c r="W175" s="3"/>
      <c r="X175" s="3"/>
      <c r="Y175" s="3"/>
      <c r="Z175" s="3"/>
      <c r="AA175" s="3"/>
      <c r="AB175" s="3"/>
      <c r="AC175" s="3"/>
    </row>
    <row r="176" spans="1:29">
      <c r="A176" s="3"/>
      <c r="B176" s="31"/>
      <c r="C176" s="79">
        <v>0</v>
      </c>
      <c r="D176" s="406">
        <f>4-1.5*((4-10*LOG10(1.256*(1+COS(RADIANS(C176))))))</f>
        <v>4.0002945259773774</v>
      </c>
      <c r="E176" s="79"/>
      <c r="F176" s="858"/>
      <c r="G176" s="418"/>
      <c r="H176" s="418"/>
      <c r="I176" s="418"/>
      <c r="J176" s="418"/>
      <c r="K176" s="418"/>
      <c r="L176" s="418"/>
      <c r="M176" s="101"/>
      <c r="N176" s="101"/>
      <c r="O176" s="3"/>
      <c r="P176" s="3"/>
      <c r="Q176" s="3"/>
      <c r="R176" s="3"/>
      <c r="S176" s="3"/>
      <c r="T176" s="3"/>
      <c r="U176" s="3"/>
      <c r="V176" s="3"/>
      <c r="W176" s="3"/>
      <c r="X176" s="3"/>
      <c r="Y176" s="3"/>
      <c r="Z176" s="3"/>
      <c r="AA176" s="3"/>
      <c r="AB176" s="3"/>
      <c r="AC176" s="3"/>
    </row>
    <row r="177" spans="1:29">
      <c r="A177" s="3"/>
      <c r="B177" s="31"/>
      <c r="C177" s="79">
        <f>C176+5</f>
        <v>5</v>
      </c>
      <c r="D177" s="406">
        <f t="shared" ref="D177:D211" si="11">4-1.5*((4-10*LOG10(1.256*(1+COS(RADIANS(C177))))))</f>
        <v>3.9878880574860744</v>
      </c>
      <c r="E177" s="79"/>
      <c r="F177" s="858"/>
      <c r="G177" s="418"/>
      <c r="H177" s="418"/>
      <c r="I177" s="418"/>
      <c r="J177" s="418"/>
      <c r="K177" s="418"/>
      <c r="L177" s="418"/>
      <c r="M177" s="101"/>
      <c r="N177" s="101"/>
      <c r="O177" s="3"/>
      <c r="P177" s="3"/>
      <c r="Q177" s="3"/>
      <c r="R177" s="3"/>
      <c r="S177" s="3"/>
      <c r="T177" s="3"/>
      <c r="U177" s="3"/>
      <c r="V177" s="3"/>
      <c r="W177" s="3"/>
      <c r="X177" s="3"/>
      <c r="Y177" s="3"/>
      <c r="Z177" s="3"/>
      <c r="AA177" s="3"/>
      <c r="AB177" s="3"/>
      <c r="AC177" s="3"/>
    </row>
    <row r="178" spans="1:29">
      <c r="A178" s="3"/>
      <c r="B178" s="31"/>
      <c r="C178" s="79">
        <f t="shared" ref="C178:C212" si="12">C177+5</f>
        <v>10</v>
      </c>
      <c r="D178" s="406">
        <f t="shared" si="11"/>
        <v>3.9506213065023497</v>
      </c>
      <c r="E178" s="79"/>
      <c r="F178" s="858"/>
      <c r="G178" s="418"/>
      <c r="H178" s="418"/>
      <c r="I178" s="418"/>
      <c r="J178" s="418"/>
      <c r="K178" s="418"/>
      <c r="L178" s="418"/>
      <c r="M178" s="101"/>
      <c r="N178" s="101"/>
      <c r="O178" s="3"/>
      <c r="P178" s="3"/>
      <c r="Q178" s="3"/>
      <c r="R178" s="3"/>
      <c r="S178" s="3"/>
      <c r="T178" s="3"/>
      <c r="U178" s="3"/>
      <c r="V178" s="3"/>
      <c r="W178" s="3"/>
      <c r="X178" s="3"/>
      <c r="Y178" s="3"/>
      <c r="Z178" s="3"/>
      <c r="AA178" s="3"/>
      <c r="AB178" s="3"/>
      <c r="AC178" s="3"/>
    </row>
    <row r="179" spans="1:29">
      <c r="A179" s="3"/>
      <c r="B179" s="31"/>
      <c r="C179" s="79">
        <f t="shared" si="12"/>
        <v>15</v>
      </c>
      <c r="D179" s="406">
        <f t="shared" si="11"/>
        <v>3.8883515113557801</v>
      </c>
      <c r="E179" s="79"/>
      <c r="F179" s="858"/>
      <c r="G179" s="418"/>
      <c r="H179" s="418"/>
      <c r="I179" s="418"/>
      <c r="J179" s="418"/>
      <c r="K179" s="418"/>
      <c r="L179" s="418"/>
      <c r="M179" s="101"/>
      <c r="N179" s="101"/>
      <c r="O179" s="3"/>
      <c r="P179" s="3"/>
      <c r="Q179" s="3"/>
      <c r="R179" s="3"/>
      <c r="S179" s="3"/>
      <c r="T179" s="3"/>
      <c r="U179" s="3"/>
      <c r="V179" s="3"/>
      <c r="W179" s="3"/>
      <c r="X179" s="3"/>
      <c r="Y179" s="3"/>
      <c r="Z179" s="3"/>
      <c r="AA179" s="3"/>
      <c r="AB179" s="3"/>
      <c r="AC179" s="3"/>
    </row>
    <row r="180" spans="1:29">
      <c r="A180" s="3"/>
      <c r="B180" s="31"/>
      <c r="C180" s="79">
        <f t="shared" si="12"/>
        <v>20</v>
      </c>
      <c r="D180" s="406">
        <f t="shared" si="11"/>
        <v>3.8008382950754434</v>
      </c>
      <c r="E180" s="79"/>
      <c r="F180" s="858"/>
      <c r="G180" s="418"/>
      <c r="H180" s="418"/>
      <c r="I180" s="418"/>
      <c r="J180" s="418"/>
      <c r="K180" s="418"/>
      <c r="L180" s="418"/>
      <c r="M180" s="101"/>
      <c r="N180" s="101"/>
      <c r="O180" s="3"/>
      <c r="P180" s="3"/>
      <c r="Q180" s="3"/>
      <c r="R180" s="3"/>
      <c r="S180" s="3"/>
      <c r="T180" s="3"/>
      <c r="U180" s="3"/>
      <c r="V180" s="3"/>
      <c r="W180" s="3"/>
      <c r="X180" s="3"/>
      <c r="Y180" s="3"/>
      <c r="Z180" s="3"/>
      <c r="AA180" s="3"/>
      <c r="AB180" s="3"/>
      <c r="AC180" s="3"/>
    </row>
    <row r="181" spans="1:29">
      <c r="A181" s="3"/>
      <c r="B181" s="31"/>
      <c r="C181" s="79">
        <f t="shared" si="12"/>
        <v>25</v>
      </c>
      <c r="D181" s="406">
        <f t="shared" si="11"/>
        <v>3.6877399197602871</v>
      </c>
      <c r="E181" s="79" t="s">
        <v>715</v>
      </c>
      <c r="F181" s="858"/>
      <c r="G181" s="418"/>
      <c r="H181" s="418"/>
      <c r="I181" s="418"/>
      <c r="J181" s="418"/>
      <c r="K181" s="418"/>
      <c r="L181" s="418"/>
      <c r="M181" s="101"/>
      <c r="N181" s="101"/>
      <c r="O181" s="3"/>
      <c r="P181" s="3"/>
      <c r="Q181" s="3"/>
      <c r="R181" s="3"/>
      <c r="S181" s="3"/>
      <c r="T181" s="3"/>
      <c r="U181" s="3"/>
      <c r="V181" s="3"/>
      <c r="W181" s="3"/>
      <c r="X181" s="3"/>
      <c r="Y181" s="3"/>
      <c r="Z181" s="3"/>
      <c r="AA181" s="3"/>
      <c r="AB181" s="3"/>
      <c r="AC181" s="3"/>
    </row>
    <row r="182" spans="1:29">
      <c r="A182" s="3"/>
      <c r="B182" s="31"/>
      <c r="C182" s="79">
        <f t="shared" si="12"/>
        <v>30</v>
      </c>
      <c r="D182" s="406">
        <f t="shared" si="11"/>
        <v>3.5486078690583334</v>
      </c>
      <c r="E182" s="79"/>
      <c r="F182" s="858"/>
      <c r="G182" s="418"/>
      <c r="H182" s="418"/>
      <c r="I182" s="418"/>
      <c r="J182" s="418"/>
      <c r="K182" s="418"/>
      <c r="L182" s="418"/>
      <c r="M182" s="101"/>
      <c r="N182" s="101"/>
      <c r="O182" s="3"/>
      <c r="P182" s="3"/>
      <c r="Q182" s="3"/>
      <c r="R182" s="3"/>
      <c r="S182" s="3"/>
      <c r="T182" s="3"/>
      <c r="U182" s="3"/>
      <c r="V182" s="3"/>
      <c r="W182" s="3"/>
      <c r="X182" s="3"/>
      <c r="Y182" s="3"/>
      <c r="Z182" s="3"/>
      <c r="AA182" s="3"/>
      <c r="AB182" s="3"/>
      <c r="AC182" s="3"/>
    </row>
    <row r="183" spans="1:29">
      <c r="A183" s="3"/>
      <c r="B183" s="31"/>
      <c r="C183" s="79">
        <f t="shared" si="12"/>
        <v>35</v>
      </c>
      <c r="D183" s="406">
        <f t="shared" si="11"/>
        <v>3.3828795731450212</v>
      </c>
      <c r="E183" s="79"/>
      <c r="F183" s="858"/>
      <c r="G183" s="418"/>
      <c r="H183" s="418"/>
      <c r="I183" s="418"/>
      <c r="J183" s="418"/>
      <c r="K183" s="418"/>
      <c r="L183" s="418"/>
      <c r="M183" s="101"/>
      <c r="N183" s="101"/>
      <c r="O183" s="3"/>
      <c r="P183" s="3"/>
      <c r="Q183" s="3"/>
      <c r="R183" s="3"/>
      <c r="S183" s="3"/>
      <c r="T183" s="3"/>
      <c r="U183" s="3"/>
      <c r="V183" s="3"/>
      <c r="W183" s="3"/>
      <c r="X183" s="3"/>
      <c r="Y183" s="3"/>
      <c r="Z183" s="3"/>
      <c r="AA183" s="3"/>
      <c r="AB183" s="3"/>
      <c r="AC183" s="3"/>
    </row>
    <row r="184" spans="1:29">
      <c r="A184" s="3"/>
      <c r="B184" s="31"/>
      <c r="C184" s="79">
        <f t="shared" si="12"/>
        <v>40</v>
      </c>
      <c r="D184" s="406">
        <f t="shared" si="11"/>
        <v>3.1898690192654722</v>
      </c>
      <c r="E184" s="79"/>
      <c r="F184" s="858"/>
      <c r="G184" s="418"/>
      <c r="H184" s="418"/>
      <c r="I184" s="418"/>
      <c r="J184" s="418"/>
      <c r="K184" s="418"/>
      <c r="L184" s="418"/>
      <c r="M184" s="101"/>
      <c r="N184" s="101"/>
      <c r="O184" s="3"/>
      <c r="P184" s="3"/>
      <c r="Q184" s="3"/>
      <c r="R184" s="3"/>
      <c r="S184" s="3"/>
      <c r="T184" s="3"/>
      <c r="U184" s="3"/>
      <c r="V184" s="3"/>
      <c r="W184" s="3"/>
      <c r="X184" s="3"/>
      <c r="Y184" s="3"/>
      <c r="Z184" s="3"/>
      <c r="AA184" s="3"/>
      <c r="AB184" s="3"/>
      <c r="AC184" s="3"/>
    </row>
    <row r="185" spans="1:29">
      <c r="A185" s="3"/>
      <c r="B185" s="31"/>
      <c r="C185" s="79">
        <f t="shared" si="12"/>
        <v>45</v>
      </c>
      <c r="D185" s="406">
        <f t="shared" si="11"/>
        <v>2.9687549036057468</v>
      </c>
      <c r="E185" s="79"/>
      <c r="F185" s="858"/>
      <c r="G185" s="418"/>
      <c r="H185" s="418" t="s">
        <v>715</v>
      </c>
      <c r="I185" s="418" t="s">
        <v>575</v>
      </c>
      <c r="J185" s="418"/>
      <c r="K185" s="418"/>
      <c r="L185" s="418"/>
      <c r="M185" s="101"/>
      <c r="N185" s="101"/>
      <c r="O185" s="3"/>
      <c r="P185" s="3"/>
      <c r="Q185" s="3"/>
      <c r="R185" s="3"/>
      <c r="S185" s="3"/>
      <c r="T185" s="3"/>
      <c r="U185" s="3"/>
      <c r="V185" s="3"/>
      <c r="W185" s="3"/>
      <c r="X185" s="3"/>
      <c r="Y185" s="3"/>
      <c r="Z185" s="3"/>
      <c r="AA185" s="3"/>
      <c r="AB185" s="3"/>
      <c r="AC185" s="3"/>
    </row>
    <row r="186" spans="1:29">
      <c r="A186" s="3"/>
      <c r="B186" s="31"/>
      <c r="C186" s="79">
        <f t="shared" si="12"/>
        <v>50</v>
      </c>
      <c r="D186" s="406">
        <f t="shared" si="11"/>
        <v>2.7185658705693321</v>
      </c>
      <c r="E186" s="79"/>
      <c r="F186" s="858"/>
      <c r="G186" s="418"/>
      <c r="H186" s="418"/>
      <c r="I186" s="418"/>
      <c r="J186" s="418" t="s">
        <v>571</v>
      </c>
      <c r="K186" s="418"/>
      <c r="L186" s="418"/>
      <c r="M186" s="101"/>
      <c r="N186" s="101"/>
      <c r="O186" s="3"/>
      <c r="P186" s="3"/>
      <c r="Q186" s="3"/>
      <c r="R186" s="3"/>
      <c r="S186" s="3"/>
      <c r="T186" s="3"/>
      <c r="U186" s="3"/>
      <c r="V186" s="3"/>
      <c r="W186" s="3"/>
      <c r="X186" s="3"/>
      <c r="Y186" s="3"/>
      <c r="Z186" s="3"/>
      <c r="AA186" s="3"/>
      <c r="AB186" s="3"/>
      <c r="AC186" s="3"/>
    </row>
    <row r="187" spans="1:29">
      <c r="A187" s="3"/>
      <c r="B187" s="31"/>
      <c r="C187" s="79">
        <f t="shared" si="12"/>
        <v>55</v>
      </c>
      <c r="D187" s="406">
        <f t="shared" si="11"/>
        <v>2.4381622447440372</v>
      </c>
      <c r="E187" s="79"/>
      <c r="F187" s="858"/>
      <c r="G187" s="418"/>
      <c r="H187" s="418"/>
      <c r="I187" s="418"/>
      <c r="J187" s="418"/>
      <c r="K187" s="418"/>
      <c r="L187" s="418"/>
      <c r="M187" s="101"/>
      <c r="N187" s="101"/>
      <c r="O187" s="3"/>
      <c r="P187" s="3"/>
      <c r="Q187" s="3"/>
      <c r="R187" s="3"/>
      <c r="S187" s="3"/>
      <c r="T187" s="3"/>
      <c r="U187" s="3"/>
      <c r="V187" s="3"/>
      <c r="W187" s="3"/>
      <c r="X187" s="3"/>
      <c r="Y187" s="3"/>
      <c r="Z187" s="3"/>
      <c r="AA187" s="3"/>
      <c r="AB187" s="3"/>
      <c r="AC187" s="3"/>
    </row>
    <row r="188" spans="1:29">
      <c r="A188" s="3"/>
      <c r="B188" s="31"/>
      <c r="C188" s="79">
        <f t="shared" si="12"/>
        <v>60</v>
      </c>
      <c r="D188" s="406">
        <f t="shared" si="11"/>
        <v>2.1262134768528775</v>
      </c>
      <c r="E188" s="79"/>
      <c r="F188" s="858"/>
      <c r="G188" s="418"/>
      <c r="H188" s="418"/>
      <c r="I188" s="418"/>
      <c r="J188" s="418"/>
      <c r="K188" s="418"/>
      <c r="L188" s="418"/>
      <c r="M188" s="101"/>
      <c r="N188" s="101"/>
      <c r="O188" s="3"/>
      <c r="P188" s="3"/>
      <c r="Q188" s="3"/>
      <c r="R188" s="3"/>
      <c r="S188" s="3"/>
      <c r="T188" s="3"/>
      <c r="U188" s="3"/>
      <c r="V188" s="3"/>
      <c r="W188" s="3"/>
      <c r="X188" s="3"/>
      <c r="Y188" s="3"/>
      <c r="Z188" s="3"/>
      <c r="AA188" s="3"/>
      <c r="AB188" s="3"/>
      <c r="AC188" s="3"/>
    </row>
    <row r="189" spans="1:29">
      <c r="A189" s="3"/>
      <c r="B189" s="31"/>
      <c r="C189" s="79">
        <f t="shared" si="12"/>
        <v>65</v>
      </c>
      <c r="D189" s="406">
        <f t="shared" si="11"/>
        <v>1.7811702806787064</v>
      </c>
      <c r="E189" s="79"/>
      <c r="F189" s="858"/>
      <c r="G189" s="418"/>
      <c r="H189" s="418"/>
      <c r="I189" s="418"/>
      <c r="J189" s="418"/>
      <c r="K189" s="418"/>
      <c r="L189" s="418"/>
      <c r="M189" s="101"/>
      <c r="N189" s="101"/>
      <c r="O189" s="3"/>
      <c r="P189" s="3"/>
      <c r="Q189" s="3"/>
      <c r="R189" s="3"/>
      <c r="S189" s="3"/>
      <c r="T189" s="3"/>
      <c r="U189" s="3"/>
      <c r="V189" s="3"/>
      <c r="W189" s="3"/>
      <c r="X189" s="3"/>
      <c r="Y189" s="3"/>
      <c r="Z189" s="3"/>
      <c r="AA189" s="3"/>
      <c r="AB189" s="3"/>
      <c r="AC189" s="3"/>
    </row>
    <row r="190" spans="1:29">
      <c r="A190" s="3"/>
      <c r="B190" s="31"/>
      <c r="C190" s="79">
        <f t="shared" si="12"/>
        <v>70</v>
      </c>
      <c r="D190" s="406">
        <f t="shared" si="11"/>
        <v>1.4012301087231167</v>
      </c>
      <c r="E190" s="79"/>
      <c r="F190" s="858"/>
      <c r="G190" s="418"/>
      <c r="H190" s="418"/>
      <c r="I190" s="418"/>
      <c r="J190" s="418"/>
      <c r="K190" s="418"/>
      <c r="L190" s="418"/>
      <c r="M190" s="101"/>
      <c r="N190" s="101"/>
      <c r="O190" s="3"/>
      <c r="P190" s="3"/>
      <c r="Q190" s="3"/>
      <c r="R190" s="3"/>
      <c r="S190" s="3"/>
      <c r="T190" s="3"/>
      <c r="U190" s="3"/>
      <c r="V190" s="3"/>
      <c r="W190" s="3"/>
      <c r="X190" s="3"/>
      <c r="Y190" s="3"/>
      <c r="Z190" s="3"/>
      <c r="AA190" s="3"/>
      <c r="AB190" s="3"/>
      <c r="AC190" s="3"/>
    </row>
    <row r="191" spans="1:29">
      <c r="A191" s="3"/>
      <c r="B191" s="31"/>
      <c r="C191" s="79">
        <f t="shared" si="12"/>
        <v>75</v>
      </c>
      <c r="D191" s="406">
        <f t="shared" si="11"/>
        <v>0.98429416422027893</v>
      </c>
      <c r="E191" s="79"/>
      <c r="F191" s="858"/>
      <c r="G191" s="418"/>
      <c r="H191" s="418"/>
      <c r="I191" s="418"/>
      <c r="J191" s="418"/>
      <c r="K191" s="418"/>
      <c r="L191" s="418"/>
      <c r="M191" s="101"/>
      <c r="N191" s="101"/>
      <c r="O191" s="3"/>
      <c r="P191" s="3"/>
      <c r="Q191" s="3"/>
      <c r="R191" s="3"/>
      <c r="S191" s="3"/>
      <c r="T191" s="3"/>
      <c r="U191" s="3"/>
      <c r="V191" s="3"/>
      <c r="W191" s="3"/>
      <c r="X191" s="3"/>
      <c r="Y191" s="3"/>
      <c r="Z191" s="3"/>
      <c r="AA191" s="3"/>
      <c r="AB191" s="3"/>
      <c r="AC191" s="3"/>
    </row>
    <row r="192" spans="1:29">
      <c r="A192" s="3"/>
      <c r="B192" s="31"/>
      <c r="C192" s="79">
        <f t="shared" si="12"/>
        <v>80</v>
      </c>
      <c r="D192" s="406">
        <f t="shared" si="11"/>
        <v>0.52791352258296209</v>
      </c>
      <c r="E192" s="79"/>
      <c r="F192" s="858"/>
      <c r="G192" s="418"/>
      <c r="H192" s="418"/>
      <c r="I192" s="418"/>
      <c r="J192" s="418"/>
      <c r="K192" s="418"/>
      <c r="L192" s="418"/>
      <c r="M192" s="101"/>
      <c r="N192" s="101"/>
      <c r="O192" s="3"/>
      <c r="P192" s="3"/>
      <c r="Q192" s="3"/>
      <c r="R192" s="3"/>
      <c r="S192" s="3"/>
      <c r="T192" s="3"/>
      <c r="U192" s="3"/>
      <c r="V192" s="3"/>
      <c r="W192" s="3"/>
      <c r="X192" s="3"/>
      <c r="Y192" s="3"/>
      <c r="Z192" s="3"/>
      <c r="AA192" s="3"/>
      <c r="AB192" s="3"/>
      <c r="AC192" s="3"/>
    </row>
    <row r="193" spans="1:29">
      <c r="A193" s="3"/>
      <c r="B193" s="31"/>
      <c r="C193" s="79">
        <f t="shared" si="12"/>
        <v>85</v>
      </c>
      <c r="D193" s="406">
        <f t="shared" si="11"/>
        <v>2.9221055497633763E-2</v>
      </c>
      <c r="E193" s="79"/>
      <c r="F193" s="858"/>
      <c r="G193" s="418"/>
      <c r="H193" s="418"/>
      <c r="I193" s="418"/>
      <c r="J193" s="418"/>
      <c r="K193" s="418"/>
      <c r="L193" s="418"/>
      <c r="M193" s="101"/>
      <c r="N193" s="101"/>
      <c r="O193" s="3"/>
      <c r="P193" s="3"/>
      <c r="Q193" s="3"/>
      <c r="R193" s="3"/>
      <c r="S193" s="3"/>
      <c r="T193" s="3"/>
      <c r="U193" s="3"/>
      <c r="V193" s="3"/>
      <c r="W193" s="3"/>
      <c r="X193" s="3"/>
      <c r="Y193" s="3"/>
      <c r="Z193" s="3"/>
      <c r="AA193" s="3"/>
      <c r="AB193" s="3"/>
      <c r="AC193" s="3"/>
    </row>
    <row r="194" spans="1:29">
      <c r="A194" s="3"/>
      <c r="B194" s="31"/>
      <c r="C194" s="79">
        <f t="shared" si="12"/>
        <v>90</v>
      </c>
      <c r="D194" s="406">
        <f t="shared" si="11"/>
        <v>-0.51515540898233958</v>
      </c>
      <c r="E194" s="79"/>
      <c r="F194" s="858"/>
      <c r="G194" s="418"/>
      <c r="H194" s="418"/>
      <c r="I194" s="418"/>
      <c r="J194" s="418"/>
      <c r="K194" s="418"/>
      <c r="L194" s="418"/>
      <c r="M194" s="101"/>
      <c r="N194" s="101"/>
      <c r="O194" s="3"/>
      <c r="P194" s="3"/>
      <c r="Q194" s="3"/>
      <c r="R194" s="3"/>
      <c r="S194" s="3"/>
      <c r="T194" s="3"/>
      <c r="U194" s="3"/>
      <c r="V194" s="3"/>
      <c r="W194" s="3"/>
      <c r="X194" s="3"/>
      <c r="Y194" s="3"/>
      <c r="Z194" s="3"/>
      <c r="AA194" s="3"/>
      <c r="AB194" s="3"/>
      <c r="AC194" s="3"/>
    </row>
    <row r="195" spans="1:29">
      <c r="A195" s="3"/>
      <c r="B195" s="31"/>
      <c r="C195" s="79">
        <f t="shared" si="12"/>
        <v>95</v>
      </c>
      <c r="D195" s="406">
        <f t="shared" si="11"/>
        <v>-1.1092050929373443</v>
      </c>
      <c r="E195" s="79"/>
      <c r="F195" s="858"/>
      <c r="G195" s="418"/>
      <c r="H195" s="418"/>
      <c r="I195" s="418"/>
      <c r="J195" s="418"/>
      <c r="K195" s="418"/>
      <c r="L195" s="418"/>
      <c r="M195" s="101"/>
      <c r="N195" s="101"/>
      <c r="O195" s="3"/>
      <c r="P195" s="3"/>
      <c r="Q195" s="3"/>
      <c r="R195" s="3"/>
      <c r="S195" s="3"/>
      <c r="T195" s="3"/>
      <c r="U195" s="3"/>
      <c r="V195" s="3"/>
      <c r="W195" s="3"/>
      <c r="X195" s="3"/>
      <c r="Y195" s="3"/>
      <c r="Z195" s="3"/>
      <c r="AA195" s="3"/>
      <c r="AB195" s="3"/>
      <c r="AC195" s="3"/>
    </row>
    <row r="196" spans="1:29">
      <c r="A196" s="3"/>
      <c r="B196" s="31"/>
      <c r="C196" s="79">
        <f t="shared" si="12"/>
        <v>100</v>
      </c>
      <c r="D196" s="406">
        <f t="shared" si="11"/>
        <v>-1.7576805714495745</v>
      </c>
      <c r="E196" s="79"/>
      <c r="F196" s="858"/>
      <c r="G196" s="418"/>
      <c r="H196" s="418"/>
      <c r="I196" s="418"/>
      <c r="J196" s="418"/>
      <c r="K196" s="418"/>
      <c r="L196" s="418"/>
      <c r="M196" s="101"/>
      <c r="N196" s="101"/>
      <c r="O196" s="3"/>
      <c r="P196" s="3"/>
      <c r="Q196" s="3"/>
      <c r="R196" s="3"/>
      <c r="S196" s="3"/>
      <c r="T196" s="3"/>
      <c r="U196" s="3"/>
      <c r="V196" s="3"/>
      <c r="W196" s="3"/>
      <c r="X196" s="3"/>
      <c r="Y196" s="3"/>
      <c r="Z196" s="3"/>
      <c r="AA196" s="3"/>
      <c r="AB196" s="3"/>
      <c r="AC196" s="3"/>
    </row>
    <row r="197" spans="1:29">
      <c r="A197" s="3"/>
      <c r="B197" s="31"/>
      <c r="C197" s="79">
        <f t="shared" si="12"/>
        <v>105</v>
      </c>
      <c r="D197" s="406">
        <f t="shared" si="11"/>
        <v>-2.4662916391040044</v>
      </c>
      <c r="E197" s="79"/>
      <c r="F197" s="858"/>
      <c r="G197" s="418"/>
      <c r="H197" s="418"/>
      <c r="I197" s="418"/>
      <c r="J197" s="418"/>
      <c r="K197" s="418"/>
      <c r="L197" s="418"/>
      <c r="M197" s="101"/>
      <c r="N197" s="101"/>
      <c r="O197" s="3"/>
      <c r="P197" s="3"/>
      <c r="Q197" s="3"/>
      <c r="R197" s="3"/>
      <c r="S197" s="3"/>
      <c r="T197" s="3"/>
      <c r="U197" s="3"/>
      <c r="V197" s="3"/>
      <c r="W197" s="3"/>
      <c r="X197" s="3"/>
      <c r="Y197" s="3"/>
      <c r="Z197" s="3"/>
      <c r="AA197" s="3"/>
      <c r="AB197" s="3"/>
      <c r="AC197" s="3"/>
    </row>
    <row r="198" spans="1:29">
      <c r="A198" s="3"/>
      <c r="B198" s="31"/>
      <c r="C198" s="79">
        <f t="shared" si="12"/>
        <v>110</v>
      </c>
      <c r="D198" s="406">
        <f t="shared" si="11"/>
        <v>-3.2419664333997016</v>
      </c>
      <c r="E198" s="79"/>
      <c r="F198" s="858"/>
      <c r="G198" s="418"/>
      <c r="H198" s="418"/>
      <c r="I198" s="418"/>
      <c r="J198" s="418"/>
      <c r="K198" s="418"/>
      <c r="L198" s="418"/>
      <c r="M198" s="101"/>
      <c r="N198" s="101"/>
      <c r="O198" s="3"/>
      <c r="P198" s="3"/>
      <c r="Q198" s="3"/>
      <c r="R198" s="3"/>
      <c r="S198" s="3"/>
      <c r="T198" s="3"/>
      <c r="U198" s="3"/>
      <c r="V198" s="3"/>
      <c r="W198" s="3"/>
      <c r="X198" s="3"/>
      <c r="Y198" s="3"/>
      <c r="Z198" s="3"/>
      <c r="AA198" s="3"/>
      <c r="AB198" s="3"/>
      <c r="AC198" s="3"/>
    </row>
    <row r="199" spans="1:29">
      <c r="A199" s="3"/>
      <c r="B199" s="31"/>
      <c r="C199" s="79">
        <f t="shared" si="12"/>
        <v>115</v>
      </c>
      <c r="D199" s="406">
        <f t="shared" si="11"/>
        <v>-4.0932097540514292</v>
      </c>
      <c r="E199" s="79"/>
      <c r="F199" s="858"/>
      <c r="G199" s="418"/>
      <c r="H199" s="418"/>
      <c r="I199" s="418"/>
      <c r="J199" s="418"/>
      <c r="K199" s="418"/>
      <c r="L199" s="418"/>
      <c r="M199" s="101"/>
      <c r="N199" s="101"/>
      <c r="O199" s="3"/>
      <c r="P199" s="3"/>
      <c r="Q199" s="3"/>
      <c r="R199" s="3"/>
      <c r="S199" s="3"/>
      <c r="T199" s="3"/>
      <c r="U199" s="3"/>
      <c r="V199" s="3"/>
      <c r="W199" s="3"/>
      <c r="X199" s="3"/>
      <c r="Y199" s="3"/>
      <c r="Z199" s="3"/>
      <c r="AA199" s="3"/>
      <c r="AB199" s="3"/>
      <c r="AC199" s="3"/>
    </row>
    <row r="200" spans="1:29">
      <c r="A200" s="3"/>
      <c r="B200" s="31"/>
      <c r="C200" s="79">
        <f t="shared" si="12"/>
        <v>120</v>
      </c>
      <c r="D200" s="406">
        <f t="shared" si="11"/>
        <v>-5.0306053439420548</v>
      </c>
      <c r="E200" s="79"/>
      <c r="F200" s="3"/>
      <c r="G200" s="3"/>
      <c r="H200" s="3"/>
      <c r="I200" s="3"/>
      <c r="J200" s="3"/>
      <c r="K200" s="3"/>
      <c r="L200" s="3"/>
      <c r="M200" s="3"/>
      <c r="N200" s="3"/>
      <c r="O200" s="3"/>
      <c r="P200" s="3" t="s">
        <v>715</v>
      </c>
      <c r="Q200" s="3"/>
      <c r="R200" s="3"/>
      <c r="S200" s="3"/>
      <c r="T200" s="3"/>
      <c r="U200" s="3"/>
      <c r="V200" s="3"/>
      <c r="W200" s="3"/>
      <c r="X200" s="3"/>
      <c r="Y200" s="3"/>
      <c r="Z200" s="3"/>
      <c r="AA200" s="3"/>
      <c r="AB200" s="3"/>
      <c r="AC200" s="3"/>
    </row>
    <row r="201" spans="1:29">
      <c r="A201" s="3"/>
      <c r="B201" s="31"/>
      <c r="C201" s="79">
        <f t="shared" si="12"/>
        <v>125</v>
      </c>
      <c r="D201" s="406">
        <f t="shared" si="11"/>
        <v>-6.0675374799629793</v>
      </c>
      <c r="E201" s="79"/>
      <c r="F201" s="3"/>
      <c r="G201" s="3"/>
      <c r="H201" s="3"/>
      <c r="I201" s="3"/>
      <c r="J201" s="3"/>
      <c r="K201" s="3"/>
      <c r="L201" s="3"/>
      <c r="M201" s="3"/>
      <c r="N201" s="3"/>
      <c r="O201" s="3"/>
      <c r="P201" s="3"/>
      <c r="Q201" s="3"/>
      <c r="R201" s="3"/>
      <c r="S201" s="3"/>
      <c r="T201" s="3"/>
      <c r="U201" s="3"/>
      <c r="V201" s="3"/>
      <c r="W201" s="3"/>
      <c r="X201" s="3"/>
      <c r="Y201" s="3"/>
      <c r="Z201" s="3"/>
      <c r="AA201" s="3"/>
      <c r="AB201" s="3"/>
      <c r="AC201" s="3"/>
    </row>
    <row r="202" spans="1:29">
      <c r="A202" s="3"/>
      <c r="B202" s="31"/>
      <c r="C202" s="79">
        <f t="shared" si="12"/>
        <v>130</v>
      </c>
      <c r="D202" s="406">
        <f t="shared" si="11"/>
        <v>-7.2212576919284306</v>
      </c>
      <c r="E202" s="79"/>
      <c r="F202" s="3"/>
      <c r="G202" s="3"/>
      <c r="H202" s="3"/>
      <c r="I202" s="3"/>
      <c r="J202" s="3"/>
      <c r="K202" s="3"/>
      <c r="L202" s="3"/>
      <c r="M202" s="3"/>
      <c r="N202" s="3"/>
      <c r="O202" s="3"/>
      <c r="P202" s="3"/>
      <c r="Q202" s="3"/>
      <c r="R202" s="3"/>
      <c r="S202" s="3"/>
      <c r="T202" s="3"/>
      <c r="U202" s="3"/>
      <c r="V202" s="3"/>
      <c r="W202" s="3"/>
      <c r="X202" s="3"/>
      <c r="Y202" s="3"/>
      <c r="Z202" s="3"/>
      <c r="AA202" s="3"/>
      <c r="AB202" s="3"/>
      <c r="AC202" s="3"/>
    </row>
    <row r="203" spans="1:29">
      <c r="A203" s="3"/>
      <c r="B203" s="31"/>
      <c r="C203" s="79">
        <f t="shared" si="12"/>
        <v>135</v>
      </c>
      <c r="D203" s="406">
        <f t="shared" si="11"/>
        <v>-8.5145156565301416</v>
      </c>
      <c r="E203" s="79"/>
      <c r="F203" s="3"/>
      <c r="G203" s="3"/>
      <c r="H203" s="3"/>
      <c r="I203" s="3"/>
      <c r="J203" s="3"/>
      <c r="K203" s="3"/>
      <c r="L203" s="3"/>
      <c r="M203" s="3"/>
      <c r="N203" s="3"/>
      <c r="O203" s="3"/>
      <c r="P203" s="3"/>
      <c r="Q203" s="3"/>
      <c r="R203" s="3"/>
      <c r="S203" s="3"/>
      <c r="T203" s="3"/>
      <c r="U203" s="3"/>
      <c r="V203" s="3"/>
      <c r="W203" s="3"/>
      <c r="X203" s="3"/>
      <c r="Y203" s="3"/>
      <c r="Z203" s="3"/>
      <c r="AA203" s="3"/>
      <c r="AB203" s="3"/>
      <c r="AC203" s="3"/>
    </row>
    <row r="204" spans="1:29">
      <c r="A204" s="3"/>
      <c r="B204" s="31"/>
      <c r="C204" s="79">
        <f t="shared" si="12"/>
        <v>140</v>
      </c>
      <c r="D204" s="406">
        <f t="shared" si="11"/>
        <v>-9.9781549346571019</v>
      </c>
      <c r="E204" s="79"/>
      <c r="F204" s="3"/>
      <c r="G204" s="3"/>
      <c r="H204" s="3"/>
      <c r="I204" s="3"/>
      <c r="J204" s="3"/>
      <c r="K204" s="3"/>
      <c r="L204" s="3"/>
      <c r="M204" s="3"/>
      <c r="N204" s="3"/>
      <c r="O204" s="3"/>
      <c r="P204" s="3"/>
      <c r="Q204" s="3"/>
      <c r="R204" s="3"/>
      <c r="S204" s="3"/>
      <c r="T204" s="3"/>
      <c r="U204" s="3"/>
      <c r="V204" s="3"/>
      <c r="W204" s="3"/>
      <c r="X204" s="3"/>
      <c r="Y204" s="3"/>
      <c r="Z204" s="3"/>
      <c r="AA204" s="3"/>
      <c r="AB204" s="3"/>
      <c r="AC204" s="3"/>
    </row>
    <row r="205" spans="1:29">
      <c r="A205" s="3"/>
      <c r="B205" s="31"/>
      <c r="C205" s="79">
        <f t="shared" si="12"/>
        <v>145</v>
      </c>
      <c r="D205" s="406">
        <f t="shared" si="11"/>
        <v>-11.655451350486784</v>
      </c>
      <c r="E205" s="79"/>
      <c r="F205" s="3"/>
      <c r="G205" s="3"/>
      <c r="H205" s="3"/>
      <c r="I205" s="3"/>
      <c r="J205" s="3"/>
      <c r="K205" s="3"/>
      <c r="L205" s="3"/>
      <c r="M205" s="3"/>
      <c r="N205" s="3"/>
      <c r="O205" s="3"/>
      <c r="P205" s="3"/>
      <c r="Q205" s="3"/>
      <c r="R205" s="3"/>
      <c r="S205" s="3"/>
      <c r="T205" s="3"/>
      <c r="U205" s="3"/>
      <c r="V205" s="3"/>
      <c r="W205" s="3"/>
      <c r="X205" s="3"/>
      <c r="Y205" s="3"/>
      <c r="Z205" s="3"/>
      <c r="AA205" s="3"/>
      <c r="AB205" s="3"/>
      <c r="AC205" s="3"/>
    </row>
    <row r="206" spans="1:29">
      <c r="A206" s="3"/>
      <c r="B206" s="31"/>
      <c r="C206" s="79">
        <f t="shared" si="12"/>
        <v>150</v>
      </c>
      <c r="D206" s="406">
        <f t="shared" si="11"/>
        <v>-13.60981855694245</v>
      </c>
      <c r="E206" s="79" t="s">
        <v>715</v>
      </c>
      <c r="F206" s="3"/>
      <c r="G206" s="3"/>
      <c r="H206" s="3"/>
      <c r="I206" s="3"/>
      <c r="J206" s="3"/>
      <c r="K206" s="3"/>
      <c r="L206" s="3"/>
      <c r="M206" s="3"/>
      <c r="N206" s="3"/>
      <c r="O206" s="3"/>
      <c r="P206" s="3"/>
      <c r="Q206" s="3"/>
      <c r="R206" s="3"/>
      <c r="S206" s="3"/>
      <c r="T206" s="3"/>
      <c r="U206" s="3"/>
      <c r="V206" s="3"/>
      <c r="W206" s="3"/>
      <c r="X206" s="3"/>
      <c r="Y206" s="3"/>
      <c r="Z206" s="3"/>
      <c r="AA206" s="3"/>
      <c r="AB206" s="3"/>
      <c r="AC206" s="3"/>
    </row>
    <row r="207" spans="1:29">
      <c r="A207" s="3"/>
      <c r="B207" s="31"/>
      <c r="C207" s="79">
        <f t="shared" si="12"/>
        <v>155</v>
      </c>
      <c r="D207" s="406">
        <f t="shared" si="11"/>
        <v>-15.939602955630772</v>
      </c>
      <c r="E207" s="79"/>
      <c r="F207" s="3"/>
      <c r="G207" s="3"/>
      <c r="H207" s="3"/>
      <c r="I207" s="3"/>
      <c r="J207" s="3"/>
      <c r="K207" s="3"/>
      <c r="L207" s="3"/>
      <c r="M207" s="3"/>
      <c r="N207" s="3"/>
      <c r="O207" s="3"/>
      <c r="P207" s="3"/>
      <c r="Q207" s="3"/>
      <c r="R207" s="3"/>
      <c r="S207" s="3"/>
      <c r="T207" s="3"/>
      <c r="U207" s="3"/>
      <c r="V207" s="3"/>
      <c r="W207" s="3"/>
      <c r="X207" s="3"/>
      <c r="Y207" s="3"/>
      <c r="Z207" s="3"/>
      <c r="AA207" s="3"/>
      <c r="AB207" s="3"/>
      <c r="AC207" s="3"/>
    </row>
    <row r="208" spans="1:29">
      <c r="A208" s="3"/>
      <c r="B208" s="31"/>
      <c r="C208" s="79">
        <f t="shared" si="12"/>
        <v>160</v>
      </c>
      <c r="D208" s="406">
        <f t="shared" si="11"/>
        <v>-18.809598573674599</v>
      </c>
      <c r="E208" s="79"/>
      <c r="F208" s="3"/>
      <c r="G208" s="3"/>
      <c r="H208" s="3"/>
      <c r="I208" s="3"/>
      <c r="J208" s="3"/>
      <c r="K208" s="3"/>
      <c r="L208" s="3"/>
      <c r="M208" s="3"/>
      <c r="N208" s="3"/>
      <c r="O208" s="3"/>
      <c r="P208" s="3"/>
      <c r="Q208" s="3"/>
      <c r="R208" s="3"/>
      <c r="S208" s="3"/>
      <c r="T208" s="3"/>
      <c r="U208" s="3"/>
      <c r="V208" s="3"/>
      <c r="W208" s="3"/>
      <c r="X208" s="3"/>
      <c r="Y208" s="3"/>
      <c r="Z208" s="3"/>
      <c r="AA208" s="3"/>
      <c r="AB208" s="3"/>
      <c r="AC208" s="3"/>
    </row>
    <row r="209" spans="1:29">
      <c r="A209" s="3"/>
      <c r="B209" s="31"/>
      <c r="C209" s="79">
        <f t="shared" si="12"/>
        <v>165</v>
      </c>
      <c r="D209" s="406">
        <f t="shared" si="11"/>
        <v>-22.528775412240272</v>
      </c>
      <c r="E209" s="79"/>
      <c r="F209" s="3"/>
      <c r="G209" s="3"/>
      <c r="H209" s="3"/>
      <c r="I209" s="3"/>
      <c r="J209" s="3"/>
      <c r="K209" s="3"/>
      <c r="L209" s="3"/>
      <c r="M209" s="3"/>
      <c r="N209" s="3"/>
      <c r="O209" s="3"/>
      <c r="P209" s="3"/>
      <c r="Q209" s="3"/>
      <c r="R209" s="3"/>
      <c r="S209" s="3"/>
      <c r="T209" s="3"/>
      <c r="U209" s="3"/>
      <c r="V209" s="3"/>
      <c r="W209" s="3"/>
      <c r="X209" s="3"/>
      <c r="Y209" s="3"/>
      <c r="Z209" s="3"/>
      <c r="AA209" s="3"/>
      <c r="AB209" s="3"/>
      <c r="AC209" s="3"/>
    </row>
    <row r="210" spans="1:29">
      <c r="A210" s="3"/>
      <c r="B210" s="31"/>
      <c r="C210" s="79">
        <f t="shared" si="12"/>
        <v>170</v>
      </c>
      <c r="D210" s="406">
        <f t="shared" si="11"/>
        <v>-27.790825224118993</v>
      </c>
      <c r="E210" s="79"/>
      <c r="F210" s="3"/>
      <c r="G210" s="3"/>
      <c r="H210" s="3"/>
      <c r="I210" s="3"/>
      <c r="J210" s="3"/>
      <c r="K210" s="3"/>
      <c r="L210" s="3"/>
      <c r="M210" s="3"/>
      <c r="N210" s="3"/>
      <c r="O210" s="3"/>
      <c r="P210" s="3"/>
      <c r="Q210" s="3"/>
      <c r="R210" s="3"/>
      <c r="S210" s="3"/>
      <c r="T210" s="3"/>
      <c r="U210" s="3"/>
      <c r="V210" s="3"/>
      <c r="W210" s="3"/>
      <c r="X210" s="3"/>
      <c r="Y210" s="3"/>
      <c r="Z210" s="3"/>
      <c r="AA210" s="3"/>
      <c r="AB210" s="3"/>
      <c r="AC210" s="3"/>
    </row>
    <row r="211" spans="1:29">
      <c r="A211" s="3"/>
      <c r="B211" s="31"/>
      <c r="C211" s="79">
        <f t="shared" si="12"/>
        <v>175</v>
      </c>
      <c r="D211" s="406">
        <f t="shared" si="11"/>
        <v>-36.809318625547164</v>
      </c>
      <c r="E211" s="79"/>
      <c r="F211" s="3"/>
      <c r="G211" s="3"/>
      <c r="H211" s="3"/>
      <c r="I211" s="3"/>
      <c r="J211" s="3"/>
      <c r="K211" s="3"/>
      <c r="L211" s="3"/>
      <c r="M211" s="3"/>
      <c r="N211" s="3"/>
      <c r="O211" s="3"/>
      <c r="P211" s="3"/>
      <c r="Q211" s="3"/>
      <c r="R211" s="3"/>
      <c r="S211" s="3"/>
      <c r="T211" s="3"/>
      <c r="U211" s="3"/>
      <c r="V211" s="3"/>
      <c r="W211" s="3"/>
      <c r="X211" s="3"/>
      <c r="Y211" s="3"/>
      <c r="Z211" s="3"/>
      <c r="AA211" s="3"/>
      <c r="AB211" s="3"/>
      <c r="AC211" s="3"/>
    </row>
    <row r="212" spans="1:29">
      <c r="A212" s="3"/>
      <c r="B212" s="31"/>
      <c r="C212" s="79">
        <f t="shared" si="12"/>
        <v>180</v>
      </c>
      <c r="D212" s="406">
        <v>-160</v>
      </c>
      <c r="E212" s="79"/>
      <c r="F212" s="3"/>
      <c r="G212" s="3"/>
      <c r="H212" s="3"/>
      <c r="I212" s="3"/>
      <c r="J212" s="3"/>
      <c r="K212" s="3"/>
      <c r="L212" s="3"/>
      <c r="M212" s="3"/>
      <c r="N212" s="3"/>
      <c r="O212" s="3"/>
      <c r="P212" s="3"/>
      <c r="Q212" s="3"/>
      <c r="R212" s="3"/>
      <c r="S212" s="3"/>
      <c r="T212" s="3"/>
      <c r="U212" s="3"/>
      <c r="V212" s="3"/>
      <c r="W212" s="3"/>
      <c r="X212" s="3"/>
      <c r="Y212" s="3"/>
      <c r="Z212" s="3"/>
      <c r="AA212" s="3"/>
      <c r="AB212" s="3"/>
      <c r="AC212" s="3"/>
    </row>
    <row r="213" spans="1:29">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row>
    <row r="214" spans="1:29" ht="13" thickBot="1">
      <c r="A214" s="3"/>
      <c r="B214" s="31" t="s">
        <v>715</v>
      </c>
      <c r="C214" s="3"/>
      <c r="D214" s="548" t="s">
        <v>62</v>
      </c>
      <c r="E214" s="549" t="s">
        <v>154</v>
      </c>
      <c r="F214" s="3"/>
      <c r="G214" s="3"/>
      <c r="H214" s="3"/>
      <c r="I214" s="3"/>
      <c r="J214" s="3"/>
      <c r="K214" s="3"/>
      <c r="L214" s="3"/>
      <c r="M214" s="3"/>
      <c r="N214" s="3"/>
      <c r="O214" s="3"/>
      <c r="P214" s="3"/>
      <c r="Q214" s="3"/>
      <c r="R214" s="3"/>
      <c r="S214" s="3"/>
      <c r="T214" s="3"/>
      <c r="U214" s="3"/>
      <c r="V214" s="3"/>
      <c r="W214" s="3"/>
      <c r="X214" s="3"/>
      <c r="Y214" s="3"/>
      <c r="Z214" s="3"/>
      <c r="AA214" s="3"/>
      <c r="AB214" s="3"/>
      <c r="AC214" s="3"/>
    </row>
    <row r="215" spans="1:29">
      <c r="A215" s="3"/>
      <c r="B215" s="542" t="s">
        <v>574</v>
      </c>
      <c r="C215" s="859" t="s">
        <v>930</v>
      </c>
      <c r="D215" s="547" t="s">
        <v>155</v>
      </c>
      <c r="E215" s="550" t="s">
        <v>155</v>
      </c>
      <c r="F215" s="418"/>
      <c r="G215" s="418" t="s">
        <v>715</v>
      </c>
      <c r="H215" s="418"/>
      <c r="I215" s="418"/>
      <c r="J215" s="418"/>
      <c r="K215" s="418"/>
      <c r="L215" s="418"/>
      <c r="M215" s="418"/>
      <c r="N215" s="539"/>
      <c r="O215" s="3"/>
      <c r="P215" s="3"/>
      <c r="Q215" s="3"/>
      <c r="R215" s="3"/>
      <c r="S215" s="3"/>
      <c r="T215" s="3"/>
      <c r="U215" s="3"/>
      <c r="V215" s="3"/>
      <c r="W215" s="3"/>
      <c r="X215" s="3"/>
      <c r="Y215" s="3"/>
      <c r="Z215" s="3"/>
      <c r="AA215" s="3"/>
      <c r="AB215" s="3"/>
      <c r="AC215" s="3"/>
    </row>
    <row r="216" spans="1:29">
      <c r="A216" s="3"/>
      <c r="B216" s="3"/>
      <c r="C216" s="533">
        <v>1.0000000000000001E-5</v>
      </c>
      <c r="D216" s="857">
        <f>6-(-10*LOG10(3282.81*((SIN(RADIANS(C216*1.7724))^2)/((C216*1.7724)^2))))</f>
        <v>6.0000048287003951</v>
      </c>
      <c r="E216" s="79" t="s">
        <v>715</v>
      </c>
      <c r="F216" s="418"/>
      <c r="G216" s="418"/>
      <c r="H216" s="418"/>
      <c r="I216" s="418"/>
      <c r="J216" s="418"/>
      <c r="K216" s="418"/>
      <c r="L216" s="418"/>
      <c r="M216" s="418"/>
      <c r="N216" s="540"/>
      <c r="O216" s="3"/>
      <c r="P216" s="3"/>
      <c r="Q216" s="3"/>
      <c r="R216" s="3"/>
      <c r="S216" s="3"/>
      <c r="T216" s="3"/>
      <c r="U216" s="3"/>
      <c r="V216" s="3"/>
      <c r="W216" s="3"/>
      <c r="X216" s="3"/>
      <c r="Y216" s="3"/>
      <c r="Z216" s="3"/>
      <c r="AA216" s="3"/>
      <c r="AB216" s="3"/>
      <c r="AC216" s="3"/>
    </row>
    <row r="217" spans="1:29">
      <c r="A217" s="3"/>
      <c r="B217" s="3"/>
      <c r="C217" s="533">
        <f>C216+5</f>
        <v>5.0000099999999996</v>
      </c>
      <c r="D217" s="857">
        <f t="shared" ref="D217:D252" si="13">6-(-10*LOG10(3282.81*((SIN(RADIANS(C217*1.7724))^2)/((C217*1.7724)^2))))</f>
        <v>5.9653447349382374</v>
      </c>
      <c r="E217" s="79" t="s">
        <v>715</v>
      </c>
      <c r="F217" s="418"/>
      <c r="G217" s="418"/>
      <c r="H217" s="418"/>
      <c r="I217" s="418"/>
      <c r="J217" s="418"/>
      <c r="K217" s="418"/>
      <c r="L217" s="418"/>
      <c r="M217" s="418"/>
      <c r="N217" s="540"/>
      <c r="O217" s="3"/>
      <c r="P217" s="3"/>
      <c r="Q217" s="3"/>
      <c r="R217" s="3"/>
      <c r="S217" s="3"/>
      <c r="T217" s="3"/>
      <c r="U217" s="3"/>
      <c r="V217" s="3"/>
      <c r="W217" s="3"/>
      <c r="X217" s="3"/>
      <c r="Y217" s="3"/>
      <c r="Z217" s="3"/>
      <c r="AA217" s="3"/>
      <c r="AB217" s="3"/>
      <c r="AC217" s="3"/>
    </row>
    <row r="218" spans="1:29">
      <c r="A218" s="3"/>
      <c r="B218" s="3"/>
      <c r="C218" s="533">
        <f t="shared" ref="C218:C283" si="14">C217+5</f>
        <v>10.00001</v>
      </c>
      <c r="D218" s="857">
        <f t="shared" si="13"/>
        <v>5.8610307884493329</v>
      </c>
      <c r="E218" s="79"/>
      <c r="F218" s="418"/>
      <c r="G218" s="418"/>
      <c r="H218" s="418"/>
      <c r="I218" s="418"/>
      <c r="J218" s="418"/>
      <c r="K218" s="418"/>
      <c r="L218" s="418"/>
      <c r="M218" s="418"/>
      <c r="N218" s="540"/>
      <c r="O218" s="3"/>
      <c r="P218" s="3"/>
      <c r="Q218" s="3"/>
      <c r="R218" s="3"/>
      <c r="S218" s="3"/>
      <c r="T218" s="3"/>
      <c r="U218" s="3"/>
      <c r="V218" s="3"/>
      <c r="W218" s="3"/>
      <c r="X218" s="3"/>
      <c r="Y218" s="3"/>
      <c r="Z218" s="3"/>
      <c r="AA218" s="3"/>
      <c r="AB218" s="3"/>
      <c r="AC218" s="3"/>
    </row>
    <row r="219" spans="1:29">
      <c r="A219" s="3"/>
      <c r="B219" s="3"/>
      <c r="C219" s="533">
        <f t="shared" si="14"/>
        <v>15.00001</v>
      </c>
      <c r="D219" s="857">
        <f t="shared" si="13"/>
        <v>5.6860456751103436</v>
      </c>
      <c r="E219" s="79"/>
      <c r="F219" s="418"/>
      <c r="G219" s="418"/>
      <c r="H219" s="418"/>
      <c r="I219" s="418"/>
      <c r="J219" s="418"/>
      <c r="K219" s="418"/>
      <c r="L219" s="418"/>
      <c r="M219" s="418"/>
      <c r="N219" s="540"/>
      <c r="O219" s="3"/>
      <c r="P219" s="3"/>
      <c r="Q219" s="3"/>
      <c r="R219" s="3"/>
      <c r="S219" s="3"/>
      <c r="T219" s="3"/>
      <c r="U219" s="3"/>
      <c r="V219" s="3"/>
      <c r="W219" s="3"/>
      <c r="X219" s="3"/>
      <c r="Y219" s="3"/>
      <c r="Z219" s="3"/>
      <c r="AA219" s="3"/>
      <c r="AB219" s="3"/>
      <c r="AC219" s="3"/>
    </row>
    <row r="220" spans="1:29">
      <c r="A220" s="3"/>
      <c r="B220" s="3"/>
      <c r="C220" s="533">
        <f t="shared" si="14"/>
        <v>20.00001</v>
      </c>
      <c r="D220" s="857">
        <f t="shared" si="13"/>
        <v>5.4386406342061937</v>
      </c>
      <c r="E220" s="79"/>
      <c r="F220" s="418"/>
      <c r="G220" s="418"/>
      <c r="H220" s="418"/>
      <c r="I220" s="418"/>
      <c r="J220" s="418"/>
      <c r="K220" s="418"/>
      <c r="L220" s="418"/>
      <c r="M220" s="418"/>
      <c r="N220" s="540"/>
      <c r="O220" s="3"/>
      <c r="P220" s="3"/>
      <c r="Q220" s="3"/>
      <c r="R220" s="3"/>
      <c r="S220" s="3"/>
      <c r="T220" s="3"/>
      <c r="U220" s="3"/>
      <c r="V220" s="3"/>
      <c r="W220" s="3"/>
      <c r="X220" s="3"/>
      <c r="Y220" s="3"/>
      <c r="Z220" s="3"/>
      <c r="AA220" s="3"/>
      <c r="AB220" s="3"/>
      <c r="AC220" s="3"/>
    </row>
    <row r="221" spans="1:29">
      <c r="A221" s="3"/>
      <c r="B221" s="3"/>
      <c r="C221" s="533">
        <f t="shared" si="14"/>
        <v>25.00001</v>
      </c>
      <c r="D221" s="857">
        <f t="shared" si="13"/>
        <v>5.1162496734715912</v>
      </c>
      <c r="E221" s="79"/>
      <c r="F221" s="418"/>
      <c r="G221" s="418"/>
      <c r="H221" s="418"/>
      <c r="I221" s="418"/>
      <c r="J221" s="418"/>
      <c r="K221" s="418"/>
      <c r="L221" s="418"/>
      <c r="M221" s="418"/>
      <c r="N221" s="540"/>
      <c r="O221" s="3"/>
      <c r="P221" s="3"/>
      <c r="Q221" s="3"/>
      <c r="R221" s="3"/>
      <c r="S221" s="3"/>
      <c r="T221" s="3"/>
      <c r="U221" s="3"/>
      <c r="V221" s="3"/>
      <c r="W221" s="3"/>
      <c r="X221" s="3"/>
      <c r="Y221" s="3"/>
      <c r="Z221" s="3"/>
      <c r="AA221" s="3"/>
      <c r="AB221" s="3"/>
      <c r="AC221" s="3"/>
    </row>
    <row r="222" spans="1:29">
      <c r="A222" s="3"/>
      <c r="B222" s="3"/>
      <c r="C222" s="533">
        <f t="shared" si="14"/>
        <v>30.00001</v>
      </c>
      <c r="D222" s="857">
        <f t="shared" si="13"/>
        <v>4.7153564644619106</v>
      </c>
      <c r="E222" s="79"/>
      <c r="F222" s="418"/>
      <c r="G222" s="418"/>
      <c r="H222" s="418"/>
      <c r="I222" s="418"/>
      <c r="J222" s="418"/>
      <c r="K222" s="418"/>
      <c r="L222" s="418"/>
      <c r="M222" s="418"/>
      <c r="N222" s="540"/>
      <c r="O222" s="3"/>
      <c r="P222" s="3"/>
      <c r="Q222" s="3"/>
      <c r="R222" s="3"/>
      <c r="S222" s="3"/>
      <c r="T222" s="3"/>
      <c r="U222" s="3"/>
      <c r="V222" s="3"/>
      <c r="W222" s="3"/>
      <c r="X222" s="3"/>
      <c r="Y222" s="3"/>
      <c r="Z222" s="3"/>
      <c r="AA222" s="3"/>
      <c r="AB222" s="3"/>
      <c r="AC222" s="3"/>
    </row>
    <row r="223" spans="1:29">
      <c r="A223" s="3"/>
      <c r="B223" s="3"/>
      <c r="C223" s="533">
        <f t="shared" si="14"/>
        <v>35.000010000000003</v>
      </c>
      <c r="D223" s="857">
        <f t="shared" si="13"/>
        <v>4.2312978799201479</v>
      </c>
      <c r="E223" s="79"/>
      <c r="F223" s="418"/>
      <c r="G223" s="418"/>
      <c r="H223" s="418"/>
      <c r="I223" s="418"/>
      <c r="J223" s="418"/>
      <c r="K223" s="418"/>
      <c r="L223" s="418"/>
      <c r="M223" s="418"/>
      <c r="N223" s="540"/>
      <c r="O223" s="3"/>
      <c r="P223" s="3"/>
      <c r="Q223" s="3"/>
      <c r="R223" s="3"/>
      <c r="S223" s="3"/>
      <c r="T223" s="3"/>
      <c r="U223" s="3"/>
      <c r="V223" s="3"/>
      <c r="W223" s="3"/>
      <c r="X223" s="3"/>
      <c r="Y223" s="3"/>
      <c r="Z223" s="3"/>
      <c r="AA223" s="3"/>
      <c r="AB223" s="3"/>
      <c r="AC223" s="3"/>
    </row>
    <row r="224" spans="1:29">
      <c r="A224" s="3"/>
      <c r="B224" s="3"/>
      <c r="C224" s="533">
        <f t="shared" si="14"/>
        <v>40.000010000000003</v>
      </c>
      <c r="D224" s="857">
        <f t="shared" si="13"/>
        <v>3.6579781652012575</v>
      </c>
      <c r="E224" s="79"/>
      <c r="F224" s="418"/>
      <c r="G224" s="418"/>
      <c r="H224" s="418"/>
      <c r="I224" s="418"/>
      <c r="J224" s="418"/>
      <c r="K224" s="418"/>
      <c r="L224" s="418"/>
      <c r="M224" s="418"/>
      <c r="N224" s="540"/>
      <c r="O224" s="3"/>
      <c r="P224" s="3"/>
      <c r="Q224" s="3"/>
      <c r="R224" s="3"/>
      <c r="S224" s="3"/>
      <c r="T224" s="3"/>
      <c r="U224" s="3"/>
      <c r="V224" s="3"/>
      <c r="W224" s="3"/>
      <c r="X224" s="3"/>
      <c r="Y224" s="3"/>
      <c r="Z224" s="3"/>
      <c r="AA224" s="3"/>
      <c r="AB224" s="3"/>
      <c r="AC224" s="3"/>
    </row>
    <row r="225" spans="1:29">
      <c r="A225" s="3"/>
      <c r="B225" s="3"/>
      <c r="C225" s="533">
        <f t="shared" si="14"/>
        <v>45.000010000000003</v>
      </c>
      <c r="D225" s="857">
        <f t="shared" si="13"/>
        <v>2.9874513525559072</v>
      </c>
      <c r="E225" s="79"/>
      <c r="F225" s="418"/>
      <c r="G225" s="418"/>
      <c r="H225" s="418" t="s">
        <v>715</v>
      </c>
      <c r="I225" s="418" t="s">
        <v>576</v>
      </c>
      <c r="J225" s="418"/>
      <c r="K225" s="418"/>
      <c r="L225" s="418"/>
      <c r="M225" s="418"/>
      <c r="N225" s="540"/>
      <c r="O225" s="3"/>
      <c r="P225" s="3"/>
      <c r="Q225" s="3"/>
      <c r="R225" s="3"/>
      <c r="S225" s="3"/>
      <c r="T225" s="3"/>
      <c r="U225" s="3"/>
      <c r="V225" s="3"/>
      <c r="W225" s="3"/>
      <c r="X225" s="3"/>
      <c r="Y225" s="3"/>
      <c r="Z225" s="3"/>
      <c r="AA225" s="3"/>
      <c r="AB225" s="3"/>
      <c r="AC225" s="3"/>
    </row>
    <row r="226" spans="1:29">
      <c r="A226" s="3"/>
      <c r="B226" s="3"/>
      <c r="C226" s="533">
        <f t="shared" si="14"/>
        <v>50.000010000000003</v>
      </c>
      <c r="D226" s="857">
        <f t="shared" si="13"/>
        <v>2.2093012463479962</v>
      </c>
      <c r="E226" s="79"/>
      <c r="F226" s="418"/>
      <c r="G226" s="418"/>
      <c r="H226" s="418"/>
      <c r="I226" s="418"/>
      <c r="J226" s="543" t="s">
        <v>571</v>
      </c>
      <c r="K226" s="418"/>
      <c r="L226" s="418"/>
      <c r="M226" s="418"/>
      <c r="N226" s="540"/>
      <c r="O226" s="3"/>
      <c r="P226" s="3"/>
      <c r="Q226" s="3"/>
      <c r="R226" s="3"/>
      <c r="S226" s="3"/>
      <c r="T226" s="3"/>
      <c r="U226" s="3"/>
      <c r="V226" s="3"/>
      <c r="W226" s="3"/>
      <c r="X226" s="3"/>
      <c r="Y226" s="3"/>
      <c r="Z226" s="3"/>
      <c r="AA226" s="3"/>
      <c r="AB226" s="3"/>
      <c r="AC226" s="3"/>
    </row>
    <row r="227" spans="1:29">
      <c r="A227" s="3"/>
      <c r="B227" s="3"/>
      <c r="C227" s="533">
        <f t="shared" si="14"/>
        <v>55.000010000000003</v>
      </c>
      <c r="D227" s="857">
        <f t="shared" si="13"/>
        <v>1.3096970623209385</v>
      </c>
      <c r="E227" s="79"/>
      <c r="F227" s="418"/>
      <c r="G227" s="418"/>
      <c r="H227" s="418"/>
      <c r="I227" s="418"/>
      <c r="J227" s="418"/>
      <c r="K227" s="418"/>
      <c r="L227" s="418"/>
      <c r="M227" s="418"/>
      <c r="N227" s="540"/>
      <c r="O227" s="3"/>
      <c r="P227" s="3"/>
      <c r="Q227" s="3"/>
      <c r="R227" s="3"/>
      <c r="S227" s="3"/>
      <c r="T227" s="3"/>
      <c r="U227" s="3"/>
      <c r="V227" s="3"/>
      <c r="W227" s="3"/>
      <c r="X227" s="3"/>
      <c r="Y227" s="3"/>
      <c r="Z227" s="3"/>
      <c r="AA227" s="3"/>
      <c r="AB227" s="3"/>
      <c r="AC227" s="3"/>
    </row>
    <row r="228" spans="1:29">
      <c r="A228" s="3"/>
      <c r="B228" s="3"/>
      <c r="C228" s="533">
        <f t="shared" si="14"/>
        <v>60.000010000000003</v>
      </c>
      <c r="D228" s="857">
        <f t="shared" si="13"/>
        <v>0.26990490064927641</v>
      </c>
      <c r="E228" s="79"/>
      <c r="F228" s="418"/>
      <c r="G228" s="418"/>
      <c r="H228" s="418"/>
      <c r="I228" s="418"/>
      <c r="J228" s="418"/>
      <c r="K228" s="418"/>
      <c r="L228" s="418"/>
      <c r="M228" s="418"/>
      <c r="N228" s="540"/>
      <c r="O228" s="3"/>
      <c r="P228" s="3"/>
      <c r="Q228" s="3"/>
      <c r="R228" s="3"/>
      <c r="S228" s="3"/>
      <c r="T228" s="3"/>
      <c r="U228" s="3"/>
      <c r="V228" s="3"/>
      <c r="W228" s="3"/>
      <c r="X228" s="3"/>
      <c r="Y228" s="3"/>
      <c r="Z228" s="3"/>
      <c r="AA228" s="3"/>
      <c r="AB228" s="3"/>
      <c r="AC228" s="3"/>
    </row>
    <row r="229" spans="1:29">
      <c r="A229" s="3"/>
      <c r="B229" s="3"/>
      <c r="C229" s="533">
        <f t="shared" si="14"/>
        <v>65.000010000000003</v>
      </c>
      <c r="D229" s="857">
        <f t="shared" si="13"/>
        <v>-0.93616362774185458</v>
      </c>
      <c r="E229" s="79"/>
      <c r="F229" s="418"/>
      <c r="G229" s="418"/>
      <c r="H229" s="418"/>
      <c r="I229" s="418"/>
      <c r="J229" s="418"/>
      <c r="K229" s="418"/>
      <c r="L229" s="418"/>
      <c r="M229" s="418"/>
      <c r="N229" s="540"/>
      <c r="O229" s="3"/>
      <c r="P229" s="3"/>
      <c r="Q229" s="3"/>
      <c r="R229" s="3"/>
      <c r="S229" s="3"/>
      <c r="T229" s="3"/>
      <c r="U229" s="3"/>
      <c r="V229" s="3"/>
      <c r="W229" s="3"/>
      <c r="X229" s="3"/>
      <c r="Y229" s="3"/>
      <c r="Z229" s="3"/>
      <c r="AA229" s="3"/>
      <c r="AB229" s="3"/>
      <c r="AC229" s="3"/>
    </row>
    <row r="230" spans="1:29">
      <c r="A230" s="3"/>
      <c r="B230" s="3"/>
      <c r="C230" s="533">
        <f t="shared" si="14"/>
        <v>70.000010000000003</v>
      </c>
      <c r="D230" s="857">
        <f t="shared" si="13"/>
        <v>-2.346219096006557</v>
      </c>
      <c r="E230" s="79"/>
      <c r="F230" s="418"/>
      <c r="G230" s="418"/>
      <c r="H230" s="418"/>
      <c r="I230" s="418"/>
      <c r="J230" s="418"/>
      <c r="K230" s="418"/>
      <c r="L230" s="418"/>
      <c r="M230" s="418"/>
      <c r="N230" s="540"/>
      <c r="O230" s="3"/>
      <c r="P230" s="3"/>
      <c r="Q230" s="3"/>
      <c r="R230" s="3"/>
      <c r="S230" s="3"/>
      <c r="T230" s="3"/>
      <c r="U230" s="3"/>
      <c r="V230" s="3"/>
      <c r="W230" s="3"/>
      <c r="X230" s="3"/>
      <c r="Y230" s="3"/>
      <c r="Z230" s="3"/>
      <c r="AA230" s="3"/>
      <c r="AB230" s="3"/>
      <c r="AC230" s="3"/>
    </row>
    <row r="231" spans="1:29">
      <c r="A231" s="3"/>
      <c r="B231" s="3"/>
      <c r="C231" s="533">
        <f t="shared" si="14"/>
        <v>75.000010000000003</v>
      </c>
      <c r="D231" s="857">
        <f t="shared" si="13"/>
        <v>-4.0175734305176114</v>
      </c>
      <c r="E231" s="79"/>
      <c r="F231" s="418"/>
      <c r="G231" s="418"/>
      <c r="H231" s="418"/>
      <c r="I231" s="418"/>
      <c r="J231" s="418"/>
      <c r="K231" s="418"/>
      <c r="L231" s="418"/>
      <c r="M231" s="418"/>
      <c r="N231" s="540"/>
      <c r="O231" s="3"/>
      <c r="P231" s="3"/>
      <c r="Q231" s="3"/>
      <c r="R231" s="3"/>
      <c r="S231" s="3"/>
      <c r="T231" s="3"/>
      <c r="U231" s="3"/>
      <c r="V231" s="3"/>
      <c r="W231" s="3"/>
      <c r="X231" s="3"/>
      <c r="Y231" s="3"/>
      <c r="Z231" s="3"/>
      <c r="AA231" s="3"/>
      <c r="AB231" s="3"/>
      <c r="AC231" s="3"/>
    </row>
    <row r="232" spans="1:29">
      <c r="A232" s="3"/>
      <c r="B232" s="3"/>
      <c r="C232" s="533">
        <f t="shared" si="14"/>
        <v>80.000010000000003</v>
      </c>
      <c r="D232" s="857">
        <f t="shared" si="13"/>
        <v>-6.0435331070795471</v>
      </c>
      <c r="E232" s="79"/>
      <c r="F232" s="418"/>
      <c r="G232" s="418"/>
      <c r="H232" s="418"/>
      <c r="I232" s="418"/>
      <c r="J232" s="418"/>
      <c r="K232" s="418"/>
      <c r="L232" s="418"/>
      <c r="M232" s="418"/>
      <c r="N232" s="540"/>
      <c r="O232" s="3"/>
      <c r="P232" s="3"/>
      <c r="Q232" s="3"/>
      <c r="R232" s="3"/>
      <c r="S232" s="3"/>
      <c r="T232" s="3"/>
      <c r="U232" s="3"/>
      <c r="V232" s="3"/>
      <c r="W232" s="3"/>
      <c r="X232" s="3"/>
      <c r="Y232" s="3"/>
      <c r="Z232" s="3"/>
      <c r="AA232" s="3"/>
      <c r="AB232" s="3"/>
      <c r="AC232" s="3"/>
    </row>
    <row r="233" spans="1:29">
      <c r="A233" s="3"/>
      <c r="B233" s="3"/>
      <c r="C233" s="533">
        <f t="shared" si="14"/>
        <v>85.000010000000003</v>
      </c>
      <c r="D233" s="857">
        <f t="shared" si="13"/>
        <v>-8.5917789014445276</v>
      </c>
      <c r="E233" s="79"/>
      <c r="F233" s="418"/>
      <c r="G233" s="418"/>
      <c r="H233" s="418"/>
      <c r="I233" s="418"/>
      <c r="J233" s="418"/>
      <c r="K233" s="418"/>
      <c r="L233" s="418"/>
      <c r="M233" s="418"/>
      <c r="N233" s="540"/>
      <c r="O233" s="3"/>
      <c r="P233" s="3"/>
      <c r="Q233" s="3"/>
      <c r="R233" s="3"/>
      <c r="S233" s="3"/>
      <c r="T233" s="3"/>
      <c r="U233" s="3"/>
      <c r="V233" s="3"/>
      <c r="W233" s="3"/>
      <c r="X233" s="3"/>
      <c r="Y233" s="3"/>
      <c r="Z233" s="3"/>
      <c r="AA233" s="3"/>
      <c r="AB233" s="3"/>
      <c r="AC233" s="3"/>
    </row>
    <row r="234" spans="1:29">
      <c r="A234" s="3"/>
      <c r="B234" s="3"/>
      <c r="C234" s="533">
        <f t="shared" si="14"/>
        <v>90.000010000000003</v>
      </c>
      <c r="D234" s="857">
        <f t="shared" si="13"/>
        <v>-12.013620001173564</v>
      </c>
      <c r="E234" s="79"/>
      <c r="F234" s="418"/>
      <c r="G234" s="418"/>
      <c r="H234" s="418"/>
      <c r="I234" s="418"/>
      <c r="J234" s="418"/>
      <c r="K234" s="418"/>
      <c r="L234" s="418"/>
      <c r="M234" s="418"/>
      <c r="N234" s="540"/>
      <c r="O234" s="3"/>
      <c r="P234" s="3"/>
      <c r="Q234" s="3"/>
      <c r="R234" s="3"/>
      <c r="S234" s="3"/>
      <c r="T234" s="3"/>
      <c r="U234" s="3"/>
      <c r="V234" s="3"/>
      <c r="W234" s="3"/>
      <c r="X234" s="3"/>
      <c r="Y234" s="3"/>
      <c r="Z234" s="3"/>
      <c r="AA234" s="3"/>
      <c r="AB234" s="3"/>
      <c r="AC234" s="3"/>
    </row>
    <row r="235" spans="1:29">
      <c r="A235" s="3"/>
      <c r="B235" s="3"/>
      <c r="C235" s="533">
        <f t="shared" si="14"/>
        <v>95.000010000000003</v>
      </c>
      <c r="D235" s="857">
        <f t="shared" si="13"/>
        <v>-17.279743973217315</v>
      </c>
      <c r="E235" s="79"/>
      <c r="F235" s="418"/>
      <c r="G235" s="418"/>
      <c r="H235" s="418"/>
      <c r="I235" s="418"/>
      <c r="J235" s="418"/>
      <c r="K235" s="418"/>
      <c r="L235" s="418"/>
      <c r="M235" s="418"/>
      <c r="N235" s="540"/>
      <c r="O235" s="3"/>
      <c r="P235" s="3"/>
      <c r="Q235" s="3"/>
      <c r="R235" s="3"/>
      <c r="S235" s="3"/>
      <c r="T235" s="3"/>
      <c r="U235" s="3"/>
      <c r="V235" s="3"/>
      <c r="W235" s="3"/>
      <c r="X235" s="3"/>
      <c r="Y235" s="3"/>
      <c r="Z235" s="3"/>
      <c r="AA235" s="3"/>
      <c r="AB235" s="3"/>
      <c r="AC235" s="3"/>
    </row>
    <row r="236" spans="1:29">
      <c r="A236" s="3"/>
      <c r="B236" s="3"/>
      <c r="C236" s="533">
        <f t="shared" si="14"/>
        <v>100.00001</v>
      </c>
      <c r="D236" s="857">
        <f t="shared" si="13"/>
        <v>-30.156464421918081</v>
      </c>
      <c r="E236" s="79" t="s">
        <v>896</v>
      </c>
      <c r="F236" s="418"/>
      <c r="G236" s="418"/>
      <c r="H236" s="418"/>
      <c r="I236" s="418"/>
      <c r="J236" s="418"/>
      <c r="K236" s="418"/>
      <c r="L236" s="418"/>
      <c r="M236" s="418"/>
      <c r="N236" s="540"/>
      <c r="O236" s="3"/>
      <c r="P236" s="3"/>
      <c r="Q236" s="3"/>
      <c r="R236" s="3"/>
      <c r="S236" s="3"/>
      <c r="T236" s="3"/>
      <c r="U236" s="3"/>
      <c r="V236" s="3"/>
      <c r="W236" s="3"/>
      <c r="X236" s="3"/>
      <c r="Y236" s="3"/>
      <c r="Z236" s="3"/>
      <c r="AA236" s="3"/>
      <c r="AB236" s="3"/>
      <c r="AC236" s="3"/>
    </row>
    <row r="237" spans="1:29">
      <c r="A237" s="3"/>
      <c r="B237" s="3"/>
      <c r="C237" s="533">
        <f t="shared" si="14"/>
        <v>105.00001</v>
      </c>
      <c r="D237" s="857">
        <f t="shared" si="13"/>
        <v>-23.701973405406868</v>
      </c>
      <c r="E237" s="79"/>
      <c r="F237" s="418"/>
      <c r="G237" s="418"/>
      <c r="H237" s="418"/>
      <c r="I237" s="418"/>
      <c r="J237" s="418"/>
      <c r="K237" s="418"/>
      <c r="L237" s="418"/>
      <c r="M237" s="418"/>
      <c r="N237" s="540"/>
      <c r="O237" s="3"/>
      <c r="P237" s="3"/>
      <c r="Q237" s="3"/>
      <c r="R237" s="3"/>
      <c r="S237" s="3"/>
      <c r="T237" s="3"/>
      <c r="U237" s="3"/>
      <c r="V237" s="3"/>
      <c r="W237" s="3"/>
      <c r="X237" s="3"/>
      <c r="Y237" s="3"/>
      <c r="Z237" s="3"/>
      <c r="AA237" s="3"/>
      <c r="AB237" s="3"/>
      <c r="AC237" s="3"/>
    </row>
    <row r="238" spans="1:29">
      <c r="A238" s="3"/>
      <c r="B238" s="3"/>
      <c r="C238" s="533">
        <f t="shared" si="14"/>
        <v>110.00001</v>
      </c>
      <c r="D238" s="857">
        <f t="shared" si="13"/>
        <v>-16.397090501132354</v>
      </c>
      <c r="E238" s="79"/>
      <c r="F238" s="418"/>
      <c r="G238" s="418"/>
      <c r="H238" s="418"/>
      <c r="I238" s="418"/>
      <c r="J238" s="418"/>
      <c r="K238" s="418"/>
      <c r="L238" s="418"/>
      <c r="M238" s="418"/>
      <c r="N238" s="540"/>
      <c r="O238" s="3"/>
      <c r="P238" s="3"/>
      <c r="Q238" s="3"/>
      <c r="R238" s="3"/>
      <c r="S238" s="3"/>
      <c r="T238" s="3"/>
      <c r="U238" s="3"/>
      <c r="V238" s="3"/>
      <c r="W238" s="3"/>
      <c r="X238" s="3"/>
      <c r="Y238" s="3"/>
      <c r="Z238" s="3"/>
      <c r="AA238" s="3"/>
      <c r="AB238" s="3"/>
      <c r="AC238" s="3"/>
    </row>
    <row r="239" spans="1:29" ht="13" thickBot="1">
      <c r="A239" s="3"/>
      <c r="B239" s="3"/>
      <c r="C239" s="533">
        <f t="shared" si="14"/>
        <v>115.00001</v>
      </c>
      <c r="D239" s="857">
        <f t="shared" si="13"/>
        <v>-12.895951874930702</v>
      </c>
      <c r="E239" s="79"/>
      <c r="F239" s="418"/>
      <c r="G239" s="418"/>
      <c r="H239" s="418"/>
      <c r="I239" s="418"/>
      <c r="J239" s="418"/>
      <c r="K239" s="418"/>
      <c r="L239" s="418"/>
      <c r="M239" s="418"/>
      <c r="N239" s="541"/>
      <c r="O239" s="3"/>
      <c r="P239" s="3"/>
      <c r="Q239" s="3"/>
      <c r="R239" s="3"/>
      <c r="S239" s="3"/>
      <c r="T239" s="3"/>
      <c r="U239" s="3"/>
      <c r="V239" s="3"/>
      <c r="W239" s="3"/>
      <c r="X239" s="3"/>
      <c r="Y239" s="3"/>
      <c r="Z239" s="3"/>
      <c r="AA239" s="3"/>
      <c r="AB239" s="3"/>
      <c r="AC239" s="3"/>
    </row>
    <row r="240" spans="1:29">
      <c r="A240" s="3"/>
      <c r="B240" s="3"/>
      <c r="C240" s="533">
        <f t="shared" si="14"/>
        <v>120.00001</v>
      </c>
      <c r="D240" s="857">
        <f t="shared" si="13"/>
        <v>-10.743493220007636</v>
      </c>
      <c r="E240" s="79"/>
      <c r="F240" s="101"/>
      <c r="G240" s="101"/>
      <c r="H240" s="101"/>
      <c r="I240" s="101"/>
      <c r="J240" s="101"/>
      <c r="K240" s="101"/>
      <c r="L240" s="101"/>
      <c r="M240" s="101"/>
      <c r="N240" s="3"/>
      <c r="O240" s="3"/>
      <c r="P240" s="3"/>
      <c r="Q240" s="3"/>
      <c r="R240" s="3"/>
      <c r="S240" s="3"/>
      <c r="T240" s="3"/>
      <c r="U240" s="3"/>
      <c r="V240" s="3"/>
      <c r="W240" s="3"/>
      <c r="X240" s="3"/>
      <c r="Y240" s="3"/>
      <c r="Z240" s="3"/>
      <c r="AA240" s="3"/>
      <c r="AB240" s="3"/>
      <c r="AC240" s="3"/>
    </row>
    <row r="241" spans="1:29">
      <c r="A241" s="3"/>
      <c r="B241" s="3"/>
      <c r="C241" s="533">
        <f t="shared" si="14"/>
        <v>125.00001</v>
      </c>
      <c r="D241" s="857">
        <f t="shared" si="13"/>
        <v>-9.3131238834920467</v>
      </c>
      <c r="E241" s="79"/>
      <c r="F241" s="3"/>
      <c r="G241" s="3"/>
      <c r="H241" s="3"/>
      <c r="I241" s="3"/>
      <c r="J241" s="3"/>
      <c r="K241" s="3"/>
      <c r="L241" s="3"/>
      <c r="M241" s="3"/>
      <c r="N241" s="3"/>
      <c r="O241" s="3"/>
      <c r="P241" s="3"/>
      <c r="Q241" s="3"/>
      <c r="R241" s="3"/>
      <c r="S241" s="3"/>
      <c r="T241" s="3"/>
      <c r="U241" s="3"/>
      <c r="V241" s="3"/>
      <c r="W241" s="3"/>
      <c r="X241" s="3"/>
      <c r="Y241" s="3"/>
      <c r="Z241" s="3"/>
      <c r="AA241" s="3"/>
      <c r="AB241" s="3"/>
      <c r="AC241" s="3"/>
    </row>
    <row r="242" spans="1:29">
      <c r="A242" s="3"/>
      <c r="B242" s="3"/>
      <c r="C242" s="533">
        <f t="shared" si="14"/>
        <v>130.00001</v>
      </c>
      <c r="D242" s="857">
        <f t="shared" si="13"/>
        <v>-8.3505360701726996</v>
      </c>
      <c r="E242" s="79"/>
      <c r="F242" s="3"/>
      <c r="G242" s="3"/>
      <c r="H242" s="3"/>
      <c r="I242" s="3"/>
      <c r="J242" s="3"/>
      <c r="K242" s="3"/>
      <c r="L242" s="3"/>
      <c r="M242" s="3"/>
      <c r="N242" s="3"/>
      <c r="O242" s="3"/>
      <c r="P242" s="3"/>
      <c r="Q242" s="3"/>
      <c r="R242" s="3"/>
      <c r="S242" s="3"/>
      <c r="T242" s="3"/>
      <c r="U242" s="3"/>
      <c r="V242" s="3"/>
      <c r="W242" s="3"/>
      <c r="X242" s="3"/>
      <c r="Y242" s="3"/>
      <c r="Z242" s="3"/>
      <c r="AA242" s="3"/>
      <c r="AB242" s="3"/>
      <c r="AC242" s="3"/>
    </row>
    <row r="243" spans="1:29">
      <c r="A243" s="3"/>
      <c r="B243" s="3"/>
      <c r="C243" s="533">
        <f t="shared" si="14"/>
        <v>135.00001</v>
      </c>
      <c r="D243" s="857">
        <f t="shared" si="13"/>
        <v>-7.7293164278551636</v>
      </c>
      <c r="E243" s="79"/>
      <c r="F243" s="3"/>
      <c r="G243" s="3"/>
      <c r="H243" s="3"/>
      <c r="I243" s="3"/>
      <c r="J243" s="3"/>
      <c r="K243" s="3"/>
      <c r="L243" s="3"/>
      <c r="M243" s="3"/>
      <c r="N243" s="3"/>
      <c r="O243" s="3"/>
      <c r="P243" s="3"/>
      <c r="Q243" s="3"/>
      <c r="R243" s="3"/>
      <c r="S243" s="3"/>
      <c r="T243" s="3"/>
      <c r="U243" s="3"/>
      <c r="V243" s="3"/>
      <c r="W243" s="3"/>
      <c r="X243" s="3"/>
      <c r="Y243" s="3"/>
      <c r="Z243" s="3"/>
      <c r="AA243" s="3"/>
      <c r="AB243" s="3"/>
      <c r="AC243" s="3"/>
    </row>
    <row r="244" spans="1:29">
      <c r="A244" s="3"/>
      <c r="B244" s="3"/>
      <c r="C244" s="533">
        <f t="shared" si="14"/>
        <v>140.00001</v>
      </c>
      <c r="D244" s="857">
        <f t="shared" si="13"/>
        <v>-7.3797189350454673</v>
      </c>
      <c r="E244" s="79"/>
      <c r="F244" s="3"/>
      <c r="G244" s="3"/>
      <c r="H244" s="3"/>
      <c r="I244" s="3"/>
      <c r="J244" s="3"/>
      <c r="K244" s="3"/>
      <c r="L244" s="3"/>
      <c r="M244" s="3"/>
      <c r="N244" s="3"/>
      <c r="O244" s="3"/>
      <c r="P244" s="3"/>
      <c r="Q244" s="3"/>
      <c r="R244" s="3"/>
      <c r="S244" s="3"/>
      <c r="T244" s="3"/>
      <c r="U244" s="3"/>
      <c r="V244" s="3"/>
      <c r="W244" s="3"/>
      <c r="X244" s="3"/>
      <c r="Y244" s="3"/>
      <c r="Z244" s="3"/>
      <c r="AA244" s="3"/>
      <c r="AB244" s="3"/>
      <c r="AC244" s="3"/>
    </row>
    <row r="245" spans="1:29">
      <c r="A245" s="3"/>
      <c r="B245" s="3"/>
      <c r="C245" s="533">
        <f t="shared" si="14"/>
        <v>145.00001</v>
      </c>
      <c r="D245" s="857">
        <f t="shared" si="13"/>
        <v>-7.2617287207414059</v>
      </c>
      <c r="E245" s="79"/>
      <c r="F245" s="3"/>
      <c r="G245" s="3"/>
      <c r="H245" s="3"/>
      <c r="I245" s="3"/>
      <c r="J245" s="3"/>
      <c r="K245" s="3"/>
      <c r="L245" s="3"/>
      <c r="M245" s="3"/>
      <c r="N245" s="3"/>
      <c r="O245" s="3"/>
      <c r="P245" s="3"/>
      <c r="Q245" s="3"/>
      <c r="R245" s="3"/>
      <c r="S245" s="3"/>
      <c r="T245" s="3"/>
      <c r="U245" s="3"/>
      <c r="V245" s="3"/>
      <c r="W245" s="3"/>
      <c r="X245" s="3"/>
      <c r="Y245" s="3"/>
      <c r="Z245" s="3"/>
      <c r="AA245" s="3"/>
      <c r="AB245" s="3"/>
      <c r="AC245" s="3"/>
    </row>
    <row r="246" spans="1:29">
      <c r="A246" s="3"/>
      <c r="B246" s="3"/>
      <c r="C246" s="533">
        <f t="shared" si="14"/>
        <v>150.00001</v>
      </c>
      <c r="D246" s="857">
        <f t="shared" si="13"/>
        <v>-7.3532972791944715</v>
      </c>
      <c r="E246" s="79"/>
      <c r="F246" s="3"/>
      <c r="G246" s="3"/>
      <c r="H246" s="3"/>
      <c r="I246" s="3"/>
      <c r="J246" s="3"/>
      <c r="K246" s="3"/>
      <c r="L246" s="3"/>
      <c r="M246" s="3"/>
      <c r="N246" s="3"/>
      <c r="O246" s="3"/>
      <c r="P246" s="3"/>
      <c r="Q246" s="3"/>
      <c r="R246" s="3"/>
      <c r="S246" s="3"/>
      <c r="T246" s="3"/>
      <c r="U246" s="3"/>
      <c r="V246" s="3"/>
      <c r="W246" s="3"/>
      <c r="X246" s="3"/>
      <c r="Y246" s="3"/>
      <c r="Z246" s="3"/>
      <c r="AA246" s="3"/>
      <c r="AB246" s="3"/>
      <c r="AC246" s="3"/>
    </row>
    <row r="247" spans="1:29">
      <c r="A247" s="3"/>
      <c r="B247" s="3"/>
      <c r="C247" s="533">
        <f t="shared" si="14"/>
        <v>155.00001</v>
      </c>
      <c r="D247" s="857">
        <f t="shared" si="13"/>
        <v>-7.6449434430417593</v>
      </c>
      <c r="E247" s="79"/>
      <c r="F247" s="3"/>
      <c r="G247" s="3"/>
      <c r="H247" s="3"/>
      <c r="I247" s="3"/>
      <c r="J247" s="3"/>
      <c r="K247" s="3"/>
      <c r="L247" s="3"/>
      <c r="M247" s="3"/>
      <c r="N247" s="3"/>
      <c r="O247" s="3"/>
      <c r="P247" s="3"/>
      <c r="Q247" s="3"/>
      <c r="R247" s="3"/>
      <c r="S247" s="3"/>
      <c r="T247" s="3"/>
      <c r="U247" s="3"/>
      <c r="V247" s="3"/>
      <c r="W247" s="3"/>
      <c r="X247" s="3"/>
      <c r="Y247" s="3"/>
      <c r="Z247" s="3"/>
      <c r="AA247" s="3"/>
      <c r="AB247" s="3"/>
      <c r="AC247" s="3"/>
    </row>
    <row r="248" spans="1:29">
      <c r="A248" s="3"/>
      <c r="B248" s="3"/>
      <c r="C248" s="533">
        <f t="shared" si="14"/>
        <v>160.00001</v>
      </c>
      <c r="D248" s="857">
        <f t="shared" si="13"/>
        <v>-8.1376149609957675</v>
      </c>
      <c r="E248" s="79"/>
      <c r="F248" s="3"/>
      <c r="G248" s="3"/>
      <c r="H248" s="3"/>
      <c r="I248" s="3"/>
      <c r="J248" s="3"/>
      <c r="K248" s="3"/>
      <c r="L248" s="3"/>
      <c r="M248" s="3"/>
      <c r="N248" s="3"/>
      <c r="O248" s="3"/>
      <c r="P248" s="3"/>
      <c r="Q248" s="3"/>
      <c r="R248" s="3"/>
      <c r="S248" s="3"/>
      <c r="T248" s="3"/>
      <c r="U248" s="3"/>
      <c r="V248" s="3"/>
      <c r="W248" s="3"/>
      <c r="X248" s="3"/>
      <c r="Y248" s="3"/>
      <c r="Z248" s="3"/>
      <c r="AA248" s="3"/>
      <c r="AB248" s="3"/>
      <c r="AC248" s="3"/>
    </row>
    <row r="249" spans="1:29">
      <c r="A249" s="3"/>
      <c r="B249" s="3"/>
      <c r="C249" s="533">
        <f t="shared" si="14"/>
        <v>165.00001</v>
      </c>
      <c r="D249" s="857">
        <f t="shared" si="13"/>
        <v>-8.842764611816559</v>
      </c>
      <c r="E249" s="79"/>
      <c r="F249" s="3"/>
      <c r="G249" s="3"/>
      <c r="H249" s="3"/>
      <c r="I249" s="3"/>
      <c r="J249" s="3"/>
      <c r="K249" s="3"/>
      <c r="L249" s="3"/>
      <c r="M249" s="3"/>
      <c r="N249" s="3"/>
      <c r="O249" s="3"/>
      <c r="P249" s="3"/>
      <c r="Q249" s="3"/>
      <c r="R249" s="3"/>
      <c r="S249" s="3"/>
      <c r="T249" s="3"/>
      <c r="U249" s="3"/>
      <c r="V249" s="3"/>
      <c r="W249" s="3"/>
      <c r="X249" s="3"/>
      <c r="Y249" s="3"/>
      <c r="Z249" s="3"/>
      <c r="AA249" s="3"/>
      <c r="AB249" s="3"/>
      <c r="AC249" s="3"/>
    </row>
    <row r="250" spans="1:29">
      <c r="A250" s="3"/>
      <c r="B250" s="3"/>
      <c r="C250" s="533">
        <f t="shared" si="14"/>
        <v>170.00001</v>
      </c>
      <c r="D250" s="857">
        <f t="shared" si="13"/>
        <v>-9.7846725758335822</v>
      </c>
      <c r="E250" s="79"/>
      <c r="F250" s="3"/>
      <c r="G250" s="3"/>
      <c r="H250" s="3"/>
      <c r="I250" s="3"/>
      <c r="J250" s="3"/>
      <c r="K250" s="3"/>
      <c r="L250" s="3"/>
      <c r="M250" s="3"/>
      <c r="N250" s="3"/>
      <c r="O250" s="3"/>
      <c r="P250" s="3"/>
      <c r="Q250" s="3"/>
      <c r="R250" s="3"/>
      <c r="S250" s="3"/>
      <c r="T250" s="3"/>
      <c r="U250" s="3"/>
      <c r="V250" s="3"/>
      <c r="W250" s="3"/>
      <c r="X250" s="3"/>
      <c r="Y250" s="3"/>
      <c r="Z250" s="3"/>
      <c r="AA250" s="3"/>
      <c r="AB250" s="3"/>
      <c r="AC250" s="3"/>
    </row>
    <row r="251" spans="1:29">
      <c r="A251" s="3"/>
      <c r="B251" s="3"/>
      <c r="C251" s="533">
        <f t="shared" si="14"/>
        <v>175.00001</v>
      </c>
      <c r="D251" s="857">
        <f t="shared" si="13"/>
        <v>-11.006151919034188</v>
      </c>
      <c r="E251" s="79"/>
      <c r="F251" s="3"/>
      <c r="G251" s="3"/>
      <c r="H251" s="3"/>
      <c r="I251" s="3"/>
      <c r="J251" s="3"/>
      <c r="K251" s="3"/>
      <c r="L251" s="3"/>
      <c r="M251" s="3"/>
      <c r="N251" s="3"/>
      <c r="O251" s="3"/>
      <c r="P251" s="3"/>
      <c r="Q251" s="3"/>
      <c r="R251" s="3"/>
      <c r="S251" s="3"/>
      <c r="T251" s="3"/>
      <c r="U251" s="3"/>
      <c r="V251" s="3"/>
      <c r="W251" s="3"/>
      <c r="X251" s="3"/>
      <c r="Y251" s="3"/>
      <c r="Z251" s="3"/>
      <c r="AA251" s="3"/>
      <c r="AB251" s="3"/>
      <c r="AC251" s="3"/>
    </row>
    <row r="252" spans="1:29">
      <c r="A252" s="3"/>
      <c r="B252" s="3"/>
      <c r="C252" s="533">
        <f t="shared" si="14"/>
        <v>180.00001</v>
      </c>
      <c r="D252" s="857">
        <f t="shared" si="13"/>
        <v>-12.580956411963957</v>
      </c>
      <c r="E252" s="79"/>
      <c r="F252" s="3"/>
      <c r="G252" s="3"/>
      <c r="H252" s="3"/>
      <c r="I252" s="3"/>
      <c r="J252" s="3"/>
      <c r="K252" s="3"/>
      <c r="L252" s="3"/>
      <c r="M252" s="3"/>
      <c r="N252" s="3"/>
      <c r="O252" s="3"/>
      <c r="P252" s="3"/>
      <c r="Q252" s="3"/>
      <c r="R252" s="3"/>
      <c r="S252" s="3"/>
      <c r="T252" s="3"/>
      <c r="U252" s="3"/>
      <c r="V252" s="3"/>
      <c r="W252" s="3"/>
      <c r="X252" s="3"/>
      <c r="Y252" s="3"/>
      <c r="Z252" s="3"/>
      <c r="AA252" s="3"/>
      <c r="AB252" s="3"/>
      <c r="AC252" s="3"/>
    </row>
    <row r="253" spans="1:29">
      <c r="A253" s="3"/>
      <c r="B253" s="3"/>
      <c r="C253" s="533">
        <f t="shared" si="14"/>
        <v>185.00001</v>
      </c>
      <c r="D253" s="857">
        <v>-11</v>
      </c>
      <c r="E253" s="3"/>
      <c r="F253" s="3"/>
      <c r="G253" s="3"/>
      <c r="H253" s="3"/>
      <c r="I253" s="3"/>
      <c r="J253" s="3"/>
      <c r="K253" s="3"/>
      <c r="L253" s="3"/>
      <c r="M253" s="3"/>
      <c r="N253" s="3"/>
      <c r="O253" s="3"/>
      <c r="P253" s="3"/>
      <c r="Q253" s="3"/>
      <c r="R253" s="3"/>
      <c r="S253" s="3"/>
      <c r="T253" s="3"/>
      <c r="U253" s="3"/>
      <c r="V253" s="3"/>
      <c r="W253" s="3"/>
      <c r="X253" s="3"/>
      <c r="Y253" s="3"/>
      <c r="Z253" s="3"/>
      <c r="AA253" s="3"/>
      <c r="AB253" s="3"/>
      <c r="AC253" s="3"/>
    </row>
    <row r="254" spans="1:29">
      <c r="A254" s="3"/>
      <c r="B254" s="3"/>
      <c r="C254" s="533">
        <f t="shared" si="14"/>
        <v>190.00001</v>
      </c>
      <c r="D254" s="857">
        <v>-9.8000000000000007</v>
      </c>
      <c r="E254" s="3"/>
      <c r="F254" s="3"/>
      <c r="G254" s="3"/>
      <c r="H254" s="3"/>
      <c r="I254" s="3"/>
      <c r="J254" s="3"/>
      <c r="K254" s="3"/>
      <c r="L254" s="3"/>
      <c r="M254" s="3"/>
      <c r="N254" s="3"/>
      <c r="O254" s="3"/>
      <c r="P254" s="3"/>
      <c r="Q254" s="3"/>
      <c r="R254" s="3"/>
      <c r="S254" s="3"/>
      <c r="T254" s="3"/>
      <c r="U254" s="3"/>
      <c r="V254" s="3"/>
      <c r="W254" s="3"/>
      <c r="X254" s="3"/>
      <c r="Y254" s="3"/>
      <c r="Z254" s="3"/>
      <c r="AA254" s="3"/>
      <c r="AB254" s="3"/>
      <c r="AC254" s="3"/>
    </row>
    <row r="255" spans="1:29">
      <c r="A255" s="3"/>
      <c r="B255" s="3"/>
      <c r="C255" s="533">
        <f t="shared" si="14"/>
        <v>195.00001</v>
      </c>
      <c r="D255" s="79">
        <v>-8.8000000000000007</v>
      </c>
      <c r="E255" s="3"/>
      <c r="F255" s="3"/>
      <c r="G255" s="3"/>
      <c r="H255" s="3"/>
      <c r="I255" s="3"/>
      <c r="J255" s="3"/>
      <c r="K255" s="3"/>
      <c r="L255" s="3"/>
      <c r="M255" s="3"/>
      <c r="N255" s="3"/>
      <c r="O255" s="3"/>
      <c r="P255" s="3"/>
      <c r="Q255" s="3"/>
      <c r="R255" s="3"/>
      <c r="S255" s="3"/>
      <c r="T255" s="3"/>
      <c r="U255" s="3"/>
      <c r="V255" s="3"/>
      <c r="W255" s="3"/>
      <c r="X255" s="3"/>
      <c r="Y255" s="3"/>
      <c r="Z255" s="3"/>
      <c r="AA255" s="3"/>
      <c r="AB255" s="3"/>
      <c r="AC255" s="3"/>
    </row>
    <row r="256" spans="1:29">
      <c r="A256" s="3"/>
      <c r="B256" s="3"/>
      <c r="C256" s="533">
        <f t="shared" si="14"/>
        <v>200.00001</v>
      </c>
      <c r="D256" s="79">
        <v>-8.1</v>
      </c>
      <c r="E256" s="3"/>
      <c r="F256" s="3"/>
      <c r="G256" s="3"/>
      <c r="H256" s="3"/>
      <c r="I256" s="3"/>
      <c r="J256" s="3"/>
      <c r="K256" s="3"/>
      <c r="L256" s="3"/>
      <c r="M256" s="3"/>
      <c r="N256" s="3"/>
      <c r="O256" s="3"/>
      <c r="P256" s="3"/>
      <c r="Q256" s="3"/>
      <c r="R256" s="3"/>
      <c r="S256" s="3"/>
      <c r="T256" s="3"/>
      <c r="U256" s="3"/>
      <c r="V256" s="3"/>
      <c r="W256" s="3"/>
      <c r="X256" s="3"/>
      <c r="Y256" s="3"/>
      <c r="Z256" s="3"/>
      <c r="AA256" s="3"/>
      <c r="AB256" s="3"/>
      <c r="AC256" s="3"/>
    </row>
    <row r="257" spans="1:29">
      <c r="A257" s="3"/>
      <c r="B257" s="3"/>
      <c r="C257" s="533">
        <f t="shared" si="14"/>
        <v>205.00001</v>
      </c>
      <c r="D257" s="79">
        <v>-7.6</v>
      </c>
      <c r="E257" s="3" t="s">
        <v>715</v>
      </c>
      <c r="F257" s="3"/>
      <c r="G257" s="3"/>
      <c r="H257" s="3"/>
      <c r="I257" s="3"/>
      <c r="J257" s="3"/>
      <c r="K257" s="3"/>
      <c r="L257" s="3"/>
      <c r="M257" s="3"/>
      <c r="N257" s="3"/>
      <c r="O257" s="3"/>
      <c r="P257" s="3"/>
      <c r="Q257" s="3"/>
      <c r="R257" s="3"/>
      <c r="S257" s="3"/>
      <c r="T257" s="3"/>
      <c r="U257" s="3"/>
      <c r="V257" s="3"/>
      <c r="W257" s="3"/>
      <c r="X257" s="3"/>
      <c r="Y257" s="3"/>
      <c r="Z257" s="3"/>
      <c r="AA257" s="3"/>
      <c r="AB257" s="3"/>
      <c r="AC257" s="3"/>
    </row>
    <row r="258" spans="1:29">
      <c r="A258" s="3"/>
      <c r="B258" s="3"/>
      <c r="C258" s="533">
        <f t="shared" si="14"/>
        <v>210.00001</v>
      </c>
      <c r="D258" s="79">
        <v>-7.4</v>
      </c>
      <c r="E258" s="3"/>
      <c r="F258" s="3"/>
      <c r="G258" s="3"/>
      <c r="H258" s="3"/>
      <c r="I258" s="3"/>
      <c r="J258" s="3"/>
      <c r="K258" s="3"/>
      <c r="L258" s="3"/>
      <c r="M258" s="3"/>
      <c r="N258" s="3"/>
      <c r="O258" s="3"/>
      <c r="P258" s="3"/>
      <c r="Q258" s="3"/>
      <c r="R258" s="3"/>
      <c r="S258" s="3"/>
      <c r="T258" s="3"/>
      <c r="U258" s="3"/>
      <c r="V258" s="3"/>
      <c r="W258" s="3"/>
      <c r="X258" s="3"/>
      <c r="Y258" s="3"/>
      <c r="Z258" s="3"/>
      <c r="AA258" s="3"/>
      <c r="AB258" s="3"/>
      <c r="AC258" s="3"/>
    </row>
    <row r="259" spans="1:29">
      <c r="A259" s="3"/>
      <c r="B259" s="3"/>
      <c r="C259" s="533">
        <f t="shared" si="14"/>
        <v>215.00001</v>
      </c>
      <c r="D259" s="79">
        <v>-7.3</v>
      </c>
      <c r="E259" s="3"/>
      <c r="F259" s="3"/>
      <c r="G259" s="3"/>
      <c r="H259" s="3"/>
      <c r="I259" s="3"/>
      <c r="J259" s="3"/>
      <c r="K259" s="3"/>
      <c r="L259" s="3"/>
      <c r="M259" s="3"/>
      <c r="N259" s="3"/>
      <c r="O259" s="3"/>
      <c r="P259" s="3"/>
      <c r="Q259" s="3"/>
      <c r="R259" s="3"/>
      <c r="S259" s="3"/>
      <c r="T259" s="3"/>
      <c r="U259" s="3"/>
      <c r="V259" s="3"/>
      <c r="W259" s="3"/>
      <c r="X259" s="3"/>
      <c r="Y259" s="3"/>
      <c r="Z259" s="3"/>
      <c r="AA259" s="3"/>
      <c r="AB259" s="3"/>
      <c r="AC259" s="3"/>
    </row>
    <row r="260" spans="1:29">
      <c r="A260" s="3"/>
      <c r="B260" s="3"/>
      <c r="C260" s="533">
        <f t="shared" si="14"/>
        <v>220.00001</v>
      </c>
      <c r="D260" s="79">
        <v>-7.4</v>
      </c>
      <c r="E260" s="3"/>
      <c r="F260" s="3"/>
      <c r="G260" s="3"/>
      <c r="H260" s="3"/>
      <c r="I260" s="3"/>
      <c r="J260" s="3"/>
      <c r="K260" s="3"/>
      <c r="L260" s="3"/>
      <c r="M260" s="3"/>
      <c r="N260" s="3"/>
      <c r="O260" s="3"/>
      <c r="P260" s="3"/>
      <c r="Q260" s="3"/>
      <c r="R260" s="3"/>
      <c r="S260" s="3"/>
      <c r="T260" s="3"/>
      <c r="U260" s="3"/>
      <c r="V260" s="3"/>
      <c r="W260" s="3"/>
      <c r="X260" s="3"/>
      <c r="Y260" s="3"/>
      <c r="Z260" s="3"/>
      <c r="AA260" s="3"/>
      <c r="AB260" s="3"/>
      <c r="AC260" s="3"/>
    </row>
    <row r="261" spans="1:29">
      <c r="A261" s="3"/>
      <c r="B261" s="3"/>
      <c r="C261" s="533">
        <f t="shared" si="14"/>
        <v>225.00001</v>
      </c>
      <c r="D261" s="79">
        <v>-7.7</v>
      </c>
      <c r="E261" s="3"/>
      <c r="F261" s="3"/>
      <c r="G261" s="3"/>
      <c r="H261" s="3"/>
      <c r="I261" s="3"/>
      <c r="J261" s="3"/>
      <c r="K261" s="3"/>
      <c r="L261" s="3"/>
      <c r="M261" s="3"/>
      <c r="N261" s="3"/>
      <c r="O261" s="3"/>
      <c r="P261" s="3"/>
      <c r="Q261" s="3"/>
      <c r="R261" s="3"/>
      <c r="S261" s="3"/>
      <c r="T261" s="3"/>
      <c r="U261" s="3"/>
      <c r="V261" s="3"/>
      <c r="W261" s="3"/>
      <c r="X261" s="3"/>
      <c r="Y261" s="3"/>
      <c r="Z261" s="3"/>
      <c r="AA261" s="3"/>
      <c r="AB261" s="3"/>
      <c r="AC261" s="3"/>
    </row>
    <row r="262" spans="1:29">
      <c r="A262" s="3"/>
      <c r="B262" s="3"/>
      <c r="C262" s="533">
        <f t="shared" si="14"/>
        <v>230.00001</v>
      </c>
      <c r="D262" s="79">
        <v>-8.4</v>
      </c>
      <c r="E262" s="3"/>
      <c r="F262" s="3"/>
      <c r="G262" s="3"/>
      <c r="H262" s="3"/>
      <c r="I262" s="3"/>
      <c r="J262" s="3"/>
      <c r="K262" s="3"/>
      <c r="L262" s="3"/>
      <c r="M262" s="3"/>
      <c r="N262" s="3"/>
      <c r="O262" s="3"/>
      <c r="P262" s="3"/>
      <c r="Q262" s="3"/>
      <c r="R262" s="3"/>
      <c r="S262" s="3"/>
      <c r="T262" s="3"/>
      <c r="U262" s="3"/>
      <c r="V262" s="3"/>
      <c r="W262" s="3"/>
      <c r="X262" s="3"/>
      <c r="Y262" s="3"/>
      <c r="Z262" s="3"/>
      <c r="AA262" s="3"/>
      <c r="AB262" s="3"/>
      <c r="AC262" s="3"/>
    </row>
    <row r="263" spans="1:29">
      <c r="A263" s="3"/>
      <c r="B263" s="3"/>
      <c r="C263" s="533">
        <f t="shared" si="14"/>
        <v>235.00001</v>
      </c>
      <c r="D263" s="79">
        <v>-9.3000000000000007</v>
      </c>
      <c r="E263" s="3"/>
      <c r="F263" s="3"/>
      <c r="G263" s="3"/>
      <c r="H263" s="3"/>
      <c r="I263" s="3"/>
      <c r="J263" s="3"/>
      <c r="K263" s="3"/>
      <c r="L263" s="3"/>
      <c r="M263" s="3"/>
      <c r="N263" s="3"/>
      <c r="O263" s="3"/>
      <c r="P263" s="3"/>
      <c r="Q263" s="3"/>
      <c r="R263" s="3"/>
      <c r="S263" s="3"/>
      <c r="T263" s="3"/>
      <c r="U263" s="3"/>
      <c r="V263" s="3"/>
      <c r="W263" s="3"/>
      <c r="X263" s="3"/>
      <c r="Y263" s="3"/>
      <c r="Z263" s="3"/>
      <c r="AA263" s="3"/>
      <c r="AB263" s="3"/>
      <c r="AC263" s="3"/>
    </row>
    <row r="264" spans="1:29">
      <c r="A264" s="3"/>
      <c r="B264" s="3"/>
      <c r="C264" s="533">
        <f t="shared" si="14"/>
        <v>240.00001</v>
      </c>
      <c r="D264" s="79">
        <v>-10.7</v>
      </c>
      <c r="E264" s="3"/>
      <c r="F264" s="3"/>
      <c r="G264" s="3"/>
      <c r="H264" s="3"/>
      <c r="I264" s="3"/>
      <c r="J264" s="3"/>
      <c r="K264" s="3"/>
      <c r="L264" s="3"/>
      <c r="M264" s="3"/>
      <c r="N264" s="3"/>
      <c r="O264" s="3"/>
      <c r="P264" s="3"/>
      <c r="Q264" s="3"/>
      <c r="R264" s="3"/>
      <c r="S264" s="3"/>
      <c r="T264" s="3"/>
      <c r="U264" s="3"/>
      <c r="V264" s="3"/>
      <c r="W264" s="3"/>
      <c r="X264" s="3"/>
      <c r="Y264" s="3"/>
      <c r="Z264" s="3"/>
      <c r="AA264" s="3"/>
      <c r="AB264" s="3"/>
      <c r="AC264" s="3"/>
    </row>
    <row r="265" spans="1:29">
      <c r="A265" s="3"/>
      <c r="B265" s="3"/>
      <c r="C265" s="533">
        <f t="shared" si="14"/>
        <v>245.00001</v>
      </c>
      <c r="D265" s="79">
        <v>-12.9</v>
      </c>
      <c r="E265" s="3"/>
      <c r="F265" s="3"/>
      <c r="G265" s="3"/>
      <c r="H265" s="3"/>
      <c r="I265" s="3"/>
      <c r="J265" s="3"/>
      <c r="K265" s="3"/>
      <c r="L265" s="3"/>
      <c r="M265" s="3"/>
      <c r="N265" s="3"/>
      <c r="O265" s="3"/>
      <c r="P265" s="3"/>
      <c r="Q265" s="3"/>
      <c r="R265" s="3"/>
      <c r="S265" s="3"/>
      <c r="T265" s="3"/>
      <c r="U265" s="3"/>
      <c r="V265" s="3"/>
      <c r="W265" s="3"/>
      <c r="X265" s="3"/>
      <c r="Y265" s="3"/>
      <c r="Z265" s="3"/>
      <c r="AA265" s="3"/>
      <c r="AB265" s="3"/>
      <c r="AC265" s="3"/>
    </row>
    <row r="266" spans="1:29">
      <c r="A266" s="3"/>
      <c r="B266" s="3"/>
      <c r="C266" s="533">
        <f t="shared" si="14"/>
        <v>250.00001</v>
      </c>
      <c r="D266" s="79">
        <v>-16.399999999999999</v>
      </c>
      <c r="E266" s="3"/>
      <c r="F266" s="3"/>
      <c r="G266" s="3"/>
      <c r="H266" s="3"/>
      <c r="I266" s="3"/>
      <c r="J266" s="3"/>
      <c r="K266" s="3"/>
      <c r="L266" s="3"/>
      <c r="M266" s="3"/>
      <c r="N266" s="3"/>
      <c r="O266" s="3"/>
      <c r="P266" s="3"/>
      <c r="Q266" s="3"/>
      <c r="R266" s="3"/>
      <c r="S266" s="3"/>
      <c r="T266" s="3"/>
      <c r="U266" s="3"/>
      <c r="V266" s="3"/>
      <c r="W266" s="3"/>
      <c r="X266" s="3"/>
      <c r="Y266" s="3"/>
      <c r="Z266" s="3"/>
      <c r="AA266" s="3"/>
      <c r="AB266" s="3"/>
      <c r="AC266" s="3"/>
    </row>
    <row r="267" spans="1:29">
      <c r="A267" s="3"/>
      <c r="B267" s="3"/>
      <c r="C267" s="533">
        <f t="shared" si="14"/>
        <v>255.00001</v>
      </c>
      <c r="D267" s="79">
        <v>-23.7</v>
      </c>
      <c r="E267" s="3"/>
      <c r="F267" s="3"/>
      <c r="G267" s="3"/>
      <c r="H267" s="3"/>
      <c r="I267" s="3"/>
      <c r="J267" s="3"/>
      <c r="K267" s="3"/>
      <c r="L267" s="3"/>
      <c r="M267" s="3"/>
      <c r="N267" s="3"/>
      <c r="O267" s="3"/>
      <c r="P267" s="3"/>
      <c r="Q267" s="3"/>
      <c r="R267" s="3"/>
      <c r="S267" s="3"/>
      <c r="T267" s="3"/>
      <c r="U267" s="3"/>
      <c r="V267" s="3"/>
      <c r="W267" s="3"/>
      <c r="X267" s="3"/>
      <c r="Y267" s="3"/>
      <c r="Z267" s="3"/>
      <c r="AA267" s="3"/>
      <c r="AB267" s="3"/>
      <c r="AC267" s="3"/>
    </row>
    <row r="268" spans="1:29">
      <c r="A268" s="3"/>
      <c r="B268" s="3"/>
      <c r="C268" s="533">
        <f t="shared" si="14"/>
        <v>260.00000999999997</v>
      </c>
      <c r="D268" s="79">
        <v>-30.2</v>
      </c>
      <c r="E268" s="3"/>
      <c r="F268" s="3"/>
      <c r="G268" s="3"/>
      <c r="H268" s="3"/>
      <c r="I268" s="3"/>
      <c r="J268" s="3"/>
      <c r="K268" s="3"/>
      <c r="L268" s="3"/>
      <c r="M268" s="3"/>
      <c r="N268" s="3"/>
      <c r="O268" s="3"/>
      <c r="P268" s="3"/>
      <c r="Q268" s="3"/>
      <c r="R268" s="3"/>
      <c r="S268" s="3"/>
      <c r="T268" s="3"/>
      <c r="U268" s="3"/>
      <c r="V268" s="3"/>
      <c r="W268" s="3"/>
      <c r="X268" s="3"/>
      <c r="Y268" s="3"/>
      <c r="Z268" s="3"/>
      <c r="AA268" s="3"/>
      <c r="AB268" s="3"/>
      <c r="AC268" s="3"/>
    </row>
    <row r="269" spans="1:29">
      <c r="A269" s="3"/>
      <c r="B269" s="3"/>
      <c r="C269" s="533">
        <f t="shared" si="14"/>
        <v>265.00000999999997</v>
      </c>
      <c r="D269" s="79">
        <v>-17.3</v>
      </c>
      <c r="E269" s="3"/>
      <c r="F269" s="3"/>
      <c r="G269" s="3"/>
      <c r="H269" s="3"/>
      <c r="I269" s="3"/>
      <c r="J269" s="3"/>
      <c r="K269" s="3"/>
      <c r="L269" s="3"/>
      <c r="M269" s="3"/>
      <c r="N269" s="3"/>
      <c r="O269" s="3"/>
      <c r="P269" s="3"/>
      <c r="Q269" s="3"/>
      <c r="R269" s="3"/>
      <c r="S269" s="3"/>
      <c r="T269" s="3"/>
      <c r="U269" s="3"/>
      <c r="V269" s="3"/>
      <c r="W269" s="3"/>
      <c r="X269" s="3"/>
      <c r="Y269" s="3"/>
      <c r="Z269" s="3"/>
      <c r="AA269" s="3"/>
      <c r="AB269" s="3"/>
      <c r="AC269" s="3"/>
    </row>
    <row r="270" spans="1:29">
      <c r="A270" s="3"/>
      <c r="B270" s="3"/>
      <c r="C270" s="533">
        <f t="shared" si="14"/>
        <v>270.00000999999997</v>
      </c>
      <c r="D270" s="33">
        <v>-8.6</v>
      </c>
      <c r="E270" s="3"/>
      <c r="F270" s="3"/>
      <c r="G270" s="3"/>
      <c r="H270" s="3"/>
      <c r="I270" s="3"/>
      <c r="J270" s="3"/>
      <c r="K270" s="3"/>
      <c r="L270" s="3"/>
      <c r="M270" s="3"/>
      <c r="N270" s="3"/>
      <c r="O270" s="3"/>
      <c r="P270" s="3"/>
      <c r="Q270" s="3"/>
      <c r="R270" s="3"/>
      <c r="S270" s="3"/>
      <c r="T270" s="3"/>
      <c r="U270" s="3"/>
      <c r="V270" s="3"/>
      <c r="W270" s="3"/>
      <c r="X270" s="3"/>
      <c r="Y270" s="3"/>
      <c r="Z270" s="3"/>
      <c r="AA270" s="3"/>
      <c r="AB270" s="3"/>
      <c r="AC270" s="3"/>
    </row>
    <row r="271" spans="1:29">
      <c r="A271" s="3"/>
      <c r="B271" s="3"/>
      <c r="C271" s="533">
        <f t="shared" si="14"/>
        <v>275.00000999999997</v>
      </c>
      <c r="D271" s="33">
        <v>-6</v>
      </c>
      <c r="E271" s="3"/>
      <c r="F271" s="3"/>
      <c r="G271" s="3"/>
      <c r="H271" s="3"/>
      <c r="I271" s="3"/>
      <c r="J271" s="3"/>
      <c r="K271" s="3"/>
      <c r="L271" s="3"/>
      <c r="M271" s="3"/>
      <c r="N271" s="3"/>
      <c r="O271" s="3"/>
      <c r="P271" s="3"/>
      <c r="Q271" s="3"/>
      <c r="R271" s="3"/>
      <c r="S271" s="3"/>
      <c r="T271" s="3"/>
      <c r="U271" s="3"/>
      <c r="V271" s="3"/>
      <c r="W271" s="3"/>
      <c r="X271" s="3"/>
      <c r="Y271" s="3"/>
      <c r="Z271" s="3"/>
      <c r="AA271" s="3"/>
      <c r="AB271" s="3"/>
      <c r="AC271" s="3"/>
    </row>
    <row r="272" spans="1:29">
      <c r="A272" s="3"/>
      <c r="B272" s="3"/>
      <c r="C272" s="533">
        <f t="shared" si="14"/>
        <v>280.00000999999997</v>
      </c>
      <c r="D272" s="33">
        <v>-4</v>
      </c>
      <c r="E272" s="3"/>
      <c r="F272" s="3"/>
      <c r="G272" s="3"/>
      <c r="H272" s="3"/>
      <c r="I272" s="3"/>
      <c r="J272" s="3"/>
      <c r="K272" s="3"/>
      <c r="L272" s="3"/>
      <c r="M272" s="3"/>
      <c r="N272" s="3"/>
      <c r="O272" s="3"/>
      <c r="P272" s="3"/>
      <c r="Q272" s="3"/>
      <c r="R272" s="3"/>
      <c r="S272" s="3"/>
      <c r="T272" s="3"/>
      <c r="U272" s="3"/>
      <c r="V272" s="3"/>
      <c r="W272" s="3"/>
      <c r="X272" s="3"/>
      <c r="Y272" s="3"/>
      <c r="Z272" s="3"/>
      <c r="AA272" s="3"/>
      <c r="AB272" s="3"/>
      <c r="AC272" s="3"/>
    </row>
    <row r="273" spans="1:29">
      <c r="A273" s="3"/>
      <c r="B273" s="3"/>
      <c r="C273" s="533">
        <f t="shared" si="14"/>
        <v>285.00000999999997</v>
      </c>
      <c r="D273" s="79">
        <v>-2.2999999999999998</v>
      </c>
      <c r="E273" s="3"/>
      <c r="F273" s="3"/>
      <c r="G273" s="3"/>
      <c r="H273" s="3"/>
      <c r="I273" s="3"/>
      <c r="J273" s="3"/>
      <c r="K273" s="3"/>
      <c r="L273" s="3"/>
      <c r="M273" s="3"/>
      <c r="N273" s="3"/>
      <c r="O273" s="3"/>
      <c r="P273" s="3"/>
      <c r="Q273" s="3"/>
      <c r="R273" s="3"/>
      <c r="S273" s="3"/>
      <c r="T273" s="3"/>
      <c r="U273" s="3"/>
      <c r="V273" s="3"/>
      <c r="W273" s="3"/>
      <c r="X273" s="3"/>
      <c r="Y273" s="3"/>
      <c r="Z273" s="3"/>
      <c r="AA273" s="3"/>
      <c r="AB273" s="3"/>
      <c r="AC273" s="3"/>
    </row>
    <row r="274" spans="1:29">
      <c r="A274" s="3"/>
      <c r="B274" s="3"/>
      <c r="C274" s="533">
        <f t="shared" si="14"/>
        <v>290.00000999999997</v>
      </c>
      <c r="D274" s="79">
        <v>-0.9</v>
      </c>
      <c r="E274" s="3"/>
      <c r="F274" s="3"/>
      <c r="G274" s="3"/>
      <c r="H274" s="3"/>
      <c r="I274" s="3"/>
      <c r="J274" s="3"/>
      <c r="K274" s="3"/>
      <c r="L274" s="3"/>
      <c r="M274" s="3"/>
      <c r="N274" s="3"/>
      <c r="O274" s="3"/>
      <c r="P274" s="3"/>
      <c r="Q274" s="3"/>
      <c r="R274" s="3"/>
      <c r="S274" s="3"/>
      <c r="T274" s="3"/>
      <c r="U274" s="3"/>
      <c r="V274" s="3"/>
      <c r="W274" s="3"/>
      <c r="X274" s="3"/>
      <c r="Y274" s="3"/>
      <c r="Z274" s="3"/>
      <c r="AA274" s="3"/>
      <c r="AB274" s="3"/>
      <c r="AC274" s="3"/>
    </row>
    <row r="275" spans="1:29">
      <c r="A275" s="3"/>
      <c r="B275" s="3"/>
      <c r="C275" s="533">
        <f t="shared" si="14"/>
        <v>295.00000999999997</v>
      </c>
      <c r="D275" s="79">
        <v>0.3</v>
      </c>
      <c r="E275" s="3"/>
      <c r="F275" s="3"/>
      <c r="G275" s="3"/>
      <c r="H275" s="3"/>
      <c r="I275" s="3"/>
      <c r="J275" s="3"/>
      <c r="K275" s="3"/>
      <c r="L275" s="3"/>
      <c r="M275" s="3"/>
      <c r="N275" s="3"/>
      <c r="O275" s="3"/>
      <c r="P275" s="3"/>
      <c r="Q275" s="3"/>
      <c r="R275" s="3"/>
      <c r="S275" s="3"/>
      <c r="T275" s="3"/>
      <c r="U275" s="3"/>
      <c r="V275" s="3"/>
      <c r="W275" s="3"/>
      <c r="X275" s="3"/>
      <c r="Y275" s="3"/>
      <c r="Z275" s="3"/>
      <c r="AA275" s="3"/>
      <c r="AB275" s="3"/>
      <c r="AC275" s="3"/>
    </row>
    <row r="276" spans="1:29">
      <c r="A276" s="3"/>
      <c r="B276" s="3"/>
      <c r="C276" s="533">
        <f t="shared" si="14"/>
        <v>300.00000999999997</v>
      </c>
      <c r="D276" s="79">
        <v>1.3</v>
      </c>
      <c r="E276" s="3"/>
      <c r="F276" s="3"/>
      <c r="G276" s="3"/>
      <c r="H276" s="3"/>
      <c r="I276" s="3"/>
      <c r="J276" s="3"/>
      <c r="K276" s="3"/>
      <c r="L276" s="3"/>
      <c r="M276" s="3"/>
      <c r="N276" s="3"/>
      <c r="O276" s="3"/>
      <c r="P276" s="3"/>
      <c r="Q276" s="3"/>
      <c r="R276" s="3"/>
      <c r="S276" s="3"/>
      <c r="T276" s="3"/>
      <c r="U276" s="3"/>
      <c r="V276" s="3"/>
      <c r="W276" s="3"/>
      <c r="X276" s="3"/>
      <c r="Y276" s="3"/>
      <c r="Z276" s="3"/>
      <c r="AA276" s="3"/>
      <c r="AB276" s="3"/>
      <c r="AC276" s="3"/>
    </row>
    <row r="277" spans="1:29">
      <c r="A277" s="3"/>
      <c r="B277" s="3"/>
      <c r="C277" s="533">
        <f t="shared" si="14"/>
        <v>305.00000999999997</v>
      </c>
      <c r="D277" s="79">
        <v>2.2000000000000002</v>
      </c>
      <c r="E277" s="3"/>
      <c r="F277" s="3"/>
      <c r="G277" s="3"/>
      <c r="H277" s="3"/>
      <c r="I277" s="3"/>
      <c r="J277" s="3"/>
      <c r="K277" s="3"/>
      <c r="L277" s="3"/>
      <c r="M277" s="3"/>
      <c r="N277" s="3"/>
      <c r="O277" s="3"/>
      <c r="P277" s="3"/>
      <c r="Q277" s="3"/>
      <c r="R277" s="3"/>
      <c r="S277" s="3"/>
      <c r="T277" s="3"/>
      <c r="U277" s="3"/>
      <c r="V277" s="3"/>
      <c r="W277" s="3"/>
      <c r="X277" s="3"/>
      <c r="Y277" s="3"/>
      <c r="Z277" s="3"/>
      <c r="AA277" s="3"/>
      <c r="AB277" s="3"/>
      <c r="AC277" s="3"/>
    </row>
    <row r="278" spans="1:29">
      <c r="A278" s="3"/>
      <c r="B278" s="3"/>
      <c r="C278" s="533">
        <f t="shared" si="14"/>
        <v>310.00000999999997</v>
      </c>
      <c r="D278" s="33">
        <v>3</v>
      </c>
      <c r="E278" s="3"/>
      <c r="F278" s="3"/>
      <c r="G278" s="3"/>
      <c r="H278" s="3"/>
      <c r="I278" s="3"/>
      <c r="J278" s="3"/>
      <c r="K278" s="3"/>
      <c r="L278" s="3"/>
      <c r="M278" s="3"/>
      <c r="N278" s="3"/>
      <c r="O278" s="3"/>
      <c r="P278" s="3"/>
      <c r="Q278" s="3"/>
      <c r="R278" s="3"/>
      <c r="S278" s="3"/>
      <c r="T278" s="3"/>
      <c r="U278" s="3"/>
      <c r="V278" s="3"/>
      <c r="W278" s="3"/>
      <c r="X278" s="3"/>
      <c r="Y278" s="3"/>
      <c r="Z278" s="3"/>
      <c r="AA278" s="3"/>
      <c r="AB278" s="3"/>
      <c r="AC278" s="3"/>
    </row>
    <row r="279" spans="1:29">
      <c r="A279" s="3"/>
      <c r="B279" s="3"/>
      <c r="C279" s="533">
        <f t="shared" si="14"/>
        <v>315.00000999999997</v>
      </c>
      <c r="D279" s="79">
        <v>3.7</v>
      </c>
      <c r="E279" s="3"/>
      <c r="F279" s="3"/>
      <c r="G279" s="3"/>
      <c r="H279" s="3"/>
      <c r="I279" s="3"/>
      <c r="J279" s="3"/>
      <c r="K279" s="3"/>
      <c r="L279" s="3"/>
      <c r="M279" s="3"/>
      <c r="N279" s="3"/>
      <c r="O279" s="3"/>
      <c r="P279" s="3"/>
      <c r="Q279" s="3"/>
      <c r="R279" s="3"/>
      <c r="S279" s="3"/>
      <c r="T279" s="3"/>
      <c r="U279" s="3"/>
      <c r="V279" s="3"/>
      <c r="W279" s="3"/>
      <c r="X279" s="3"/>
      <c r="Y279" s="3"/>
      <c r="Z279" s="3"/>
      <c r="AA279" s="3"/>
      <c r="AB279" s="3"/>
      <c r="AC279" s="3"/>
    </row>
    <row r="280" spans="1:29">
      <c r="A280" s="3"/>
      <c r="B280" s="3"/>
      <c r="C280" s="533">
        <f t="shared" si="14"/>
        <v>320.00000999999997</v>
      </c>
      <c r="D280" s="79">
        <v>4.2</v>
      </c>
      <c r="E280" s="3"/>
      <c r="F280" s="3"/>
      <c r="G280" s="3"/>
      <c r="H280" s="3"/>
      <c r="I280" s="3"/>
      <c r="J280" s="3"/>
      <c r="K280" s="3"/>
      <c r="L280" s="3"/>
      <c r="M280" s="3"/>
      <c r="N280" s="3"/>
      <c r="O280" s="3"/>
      <c r="P280" s="3"/>
      <c r="Q280" s="3"/>
      <c r="R280" s="3"/>
      <c r="S280" s="3"/>
      <c r="T280" s="3"/>
      <c r="U280" s="3"/>
      <c r="V280" s="3"/>
      <c r="W280" s="3"/>
      <c r="X280" s="3"/>
      <c r="Y280" s="3"/>
      <c r="Z280" s="3"/>
      <c r="AA280" s="3"/>
      <c r="AB280" s="3"/>
      <c r="AC280" s="3"/>
    </row>
    <row r="281" spans="1:29">
      <c r="A281" s="3"/>
      <c r="B281" s="3"/>
      <c r="C281" s="533">
        <f t="shared" si="14"/>
        <v>325.00000999999997</v>
      </c>
      <c r="D281" s="79">
        <v>4.7</v>
      </c>
      <c r="E281" s="3"/>
      <c r="F281" s="3"/>
      <c r="G281" s="3"/>
      <c r="H281" s="3"/>
      <c r="I281" s="3"/>
      <c r="J281" s="3"/>
      <c r="K281" s="3"/>
      <c r="L281" s="3"/>
      <c r="M281" s="3"/>
      <c r="N281" s="3"/>
      <c r="O281" s="3"/>
      <c r="P281" s="3"/>
      <c r="Q281" s="3"/>
      <c r="R281" s="3"/>
      <c r="S281" s="3"/>
      <c r="T281" s="3"/>
      <c r="U281" s="3"/>
      <c r="V281" s="3"/>
      <c r="W281" s="3"/>
      <c r="X281" s="3"/>
      <c r="Y281" s="3"/>
      <c r="Z281" s="3"/>
      <c r="AA281" s="3"/>
      <c r="AB281" s="3"/>
      <c r="AC281" s="3"/>
    </row>
    <row r="282" spans="1:29">
      <c r="A282" s="3"/>
      <c r="B282" s="3"/>
      <c r="C282" s="533">
        <f>C281+5</f>
        <v>330.00000999999997</v>
      </c>
      <c r="D282" s="79">
        <v>5.0999999999999996</v>
      </c>
      <c r="E282" s="3"/>
      <c r="F282" s="3"/>
      <c r="G282" s="3"/>
      <c r="H282" s="3"/>
      <c r="I282" s="3"/>
      <c r="J282" s="3"/>
      <c r="K282" s="3"/>
      <c r="L282" s="3"/>
      <c r="M282" s="3"/>
      <c r="N282" s="3"/>
      <c r="O282" s="3"/>
      <c r="P282" s="3"/>
      <c r="Q282" s="3"/>
      <c r="R282" s="3"/>
      <c r="S282" s="3"/>
      <c r="T282" s="3"/>
      <c r="U282" s="3"/>
      <c r="V282" s="3"/>
      <c r="W282" s="3"/>
      <c r="X282" s="3"/>
      <c r="Y282" s="3"/>
      <c r="Z282" s="3"/>
      <c r="AA282" s="3"/>
      <c r="AB282" s="3"/>
      <c r="AC282" s="3"/>
    </row>
    <row r="283" spans="1:29">
      <c r="A283" s="3"/>
      <c r="B283" s="3"/>
      <c r="C283" s="533">
        <f t="shared" si="14"/>
        <v>335.00000999999997</v>
      </c>
      <c r="D283" s="79">
        <v>5.4</v>
      </c>
      <c r="E283" s="3"/>
      <c r="F283" s="3"/>
      <c r="G283" s="3"/>
      <c r="H283" s="3"/>
      <c r="I283" s="3"/>
      <c r="J283" s="3"/>
      <c r="K283" s="3"/>
      <c r="L283" s="3"/>
      <c r="M283" s="3"/>
      <c r="N283" s="3"/>
      <c r="O283" s="3"/>
      <c r="P283" s="3"/>
      <c r="Q283" s="3"/>
      <c r="R283" s="3"/>
      <c r="S283" s="3"/>
      <c r="T283" s="3"/>
      <c r="U283" s="3"/>
      <c r="V283" s="3"/>
      <c r="W283" s="3"/>
      <c r="X283" s="3"/>
      <c r="Y283" s="3"/>
      <c r="Z283" s="3"/>
      <c r="AA283" s="3"/>
      <c r="AB283" s="3"/>
      <c r="AC283" s="3"/>
    </row>
    <row r="284" spans="1:29">
      <c r="A284" s="3"/>
      <c r="B284" s="3"/>
      <c r="C284" s="533">
        <f>C283+5</f>
        <v>340.00000999999997</v>
      </c>
      <c r="D284" s="79">
        <v>5.7</v>
      </c>
      <c r="E284" s="3"/>
      <c r="F284" s="3"/>
      <c r="G284" s="3"/>
      <c r="H284" s="3"/>
      <c r="I284" s="3"/>
      <c r="J284" s="3"/>
      <c r="K284" s="3"/>
      <c r="L284" s="3"/>
      <c r="M284" s="3"/>
      <c r="N284" s="3"/>
      <c r="O284" s="3"/>
      <c r="P284" s="3"/>
      <c r="Q284" s="3"/>
      <c r="R284" s="3"/>
      <c r="S284" s="3"/>
      <c r="T284" s="3"/>
      <c r="U284" s="3"/>
      <c r="V284" s="3"/>
      <c r="W284" s="3"/>
      <c r="X284" s="3"/>
      <c r="Y284" s="3"/>
      <c r="Z284" s="3"/>
      <c r="AA284" s="3"/>
      <c r="AB284" s="3"/>
      <c r="AC284" s="3"/>
    </row>
    <row r="285" spans="1:29">
      <c r="A285" s="3"/>
      <c r="B285" s="3"/>
      <c r="C285" s="533">
        <f>C284+5</f>
        <v>345.00000999999997</v>
      </c>
      <c r="D285" s="79">
        <v>5.9</v>
      </c>
      <c r="E285" s="3"/>
      <c r="F285" s="3"/>
      <c r="G285" s="3"/>
      <c r="H285" s="3"/>
      <c r="I285" s="3"/>
      <c r="J285" s="3"/>
      <c r="K285" s="3"/>
      <c r="L285" s="3"/>
      <c r="M285" s="3"/>
      <c r="N285" s="3"/>
      <c r="O285" s="3"/>
      <c r="P285" s="3"/>
      <c r="Q285" s="3"/>
      <c r="R285" s="3"/>
      <c r="S285" s="3"/>
      <c r="T285" s="3"/>
      <c r="U285" s="3"/>
      <c r="V285" s="3"/>
      <c r="W285" s="3"/>
      <c r="X285" s="3"/>
      <c r="Y285" s="3"/>
      <c r="Z285" s="3"/>
      <c r="AA285" s="3"/>
      <c r="AB285" s="3"/>
      <c r="AC285" s="3"/>
    </row>
    <row r="286" spans="1:29">
      <c r="A286" s="3"/>
      <c r="B286" s="3"/>
      <c r="C286" s="533">
        <f>C285+5</f>
        <v>350.00000999999997</v>
      </c>
      <c r="D286" s="33">
        <v>6</v>
      </c>
      <c r="E286" s="3"/>
      <c r="F286" s="3"/>
      <c r="G286" s="3"/>
      <c r="H286" s="3"/>
      <c r="I286" s="3"/>
      <c r="J286" s="3"/>
      <c r="K286" s="3"/>
      <c r="L286" s="3"/>
      <c r="M286" s="3"/>
      <c r="N286" s="3"/>
      <c r="O286" s="3"/>
      <c r="P286" s="3"/>
      <c r="Q286" s="3"/>
      <c r="R286" s="3"/>
      <c r="S286" s="3"/>
      <c r="T286" s="3"/>
      <c r="U286" s="3"/>
      <c r="V286" s="3"/>
      <c r="W286" s="3"/>
      <c r="X286" s="3"/>
      <c r="Y286" s="3"/>
      <c r="Z286" s="3"/>
      <c r="AA286" s="3"/>
      <c r="AB286" s="3"/>
      <c r="AC286" s="3"/>
    </row>
    <row r="287" spans="1:29">
      <c r="A287" s="3"/>
      <c r="B287" s="3"/>
      <c r="C287" s="533">
        <f>C286+5</f>
        <v>355.00000999999997</v>
      </c>
      <c r="D287" s="33">
        <v>6</v>
      </c>
      <c r="E287" s="3"/>
      <c r="F287" s="3"/>
      <c r="G287" s="3"/>
      <c r="H287" s="3"/>
      <c r="I287" s="3"/>
      <c r="J287" s="3"/>
      <c r="K287" s="3"/>
      <c r="L287" s="3"/>
      <c r="M287" s="3"/>
      <c r="N287" s="3"/>
      <c r="O287" s="3"/>
      <c r="P287" s="3"/>
      <c r="Q287" s="3"/>
      <c r="R287" s="3"/>
      <c r="S287" s="3"/>
      <c r="T287" s="3"/>
      <c r="U287" s="3"/>
      <c r="V287" s="3"/>
      <c r="W287" s="3"/>
      <c r="X287" s="3"/>
      <c r="Y287" s="3"/>
      <c r="Z287" s="3"/>
      <c r="AA287" s="3"/>
      <c r="AB287" s="3"/>
      <c r="AC287" s="3"/>
    </row>
    <row r="288" spans="1:29">
      <c r="A288" s="3"/>
      <c r="B288" s="3"/>
      <c r="C288" s="533" t="s">
        <v>715</v>
      </c>
      <c r="D288" s="79"/>
      <c r="E288" s="3"/>
      <c r="F288" s="3"/>
      <c r="G288" s="3"/>
      <c r="H288" s="3"/>
      <c r="I288" s="3"/>
      <c r="J288" s="3"/>
      <c r="K288" s="3"/>
      <c r="L288" s="3"/>
      <c r="M288" s="3"/>
      <c r="N288" s="3"/>
      <c r="O288" s="3"/>
      <c r="P288" s="3"/>
      <c r="Q288" s="3"/>
      <c r="R288" s="3"/>
      <c r="S288" s="3"/>
      <c r="T288" s="3"/>
      <c r="U288" s="3"/>
      <c r="V288" s="3"/>
      <c r="W288" s="3"/>
      <c r="X288" s="3"/>
      <c r="Y288" s="3"/>
      <c r="Z288" s="3"/>
      <c r="AA288" s="3"/>
      <c r="AB288" s="3"/>
      <c r="AC288" s="3"/>
    </row>
    <row r="289" spans="1:29">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row>
    <row r="290" spans="1:29">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row>
    <row r="291" spans="1:29">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row>
    <row r="292" spans="1:29">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row>
    <row r="293" spans="1:29">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row>
    <row r="294" spans="1:29">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row>
    <row r="295" spans="1:29">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row>
    <row r="296" spans="1:29">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row>
    <row r="297" spans="1:29">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row>
    <row r="298" spans="1:29">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row>
    <row r="299" spans="1:29">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row>
    <row r="300" spans="1:29">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row>
  </sheetData>
  <phoneticPr fontId="26" type="noConversion"/>
  <pageMargins left="0.75" right="0.75" top="1" bottom="1" header="0.5" footer="0.5"/>
  <pageSetup paperSize="9" orientation="portrait" horizontalDpi="4294967293" verticalDpi="4294967293"/>
  <headerFooter alignWithMargins="0"/>
  <drawing r:id="rId1"/>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6">
    <tabColor indexed="47"/>
  </sheetPr>
  <dimension ref="A1:U124"/>
  <sheetViews>
    <sheetView zoomScale="150" zoomScaleNormal="150" workbookViewId="0">
      <selection activeCell="H11" sqref="H11"/>
    </sheetView>
  </sheetViews>
  <sheetFormatPr defaultColWidth="8.81640625" defaultRowHeight="12.5"/>
  <cols>
    <col min="1" max="1" width="17.1796875" customWidth="1"/>
    <col min="2" max="2" width="9" bestFit="1" customWidth="1"/>
    <col min="3" max="3" width="12.453125" bestFit="1" customWidth="1"/>
    <col min="4" max="4" width="10.81640625" customWidth="1"/>
    <col min="5" max="5" width="16.1796875" customWidth="1"/>
    <col min="6" max="6" width="14.54296875" customWidth="1"/>
    <col min="10" max="10" width="12.453125" customWidth="1"/>
  </cols>
  <sheetData>
    <row r="1" spans="1:21" ht="18">
      <c r="A1" s="475"/>
      <c r="B1" s="476"/>
      <c r="C1" s="477" t="s">
        <v>152</v>
      </c>
      <c r="D1" s="477"/>
      <c r="E1" s="476"/>
      <c r="F1" s="476"/>
      <c r="G1" s="478"/>
      <c r="H1" s="3"/>
      <c r="I1" s="3"/>
      <c r="J1" s="3"/>
      <c r="K1" s="3"/>
      <c r="L1" s="3"/>
      <c r="M1" s="3"/>
      <c r="N1" s="3"/>
      <c r="O1" s="3"/>
      <c r="P1" s="3"/>
      <c r="Q1" s="3"/>
      <c r="R1" s="3"/>
      <c r="S1" s="840"/>
      <c r="T1" s="840"/>
      <c r="U1" s="840"/>
    </row>
    <row r="2" spans="1:21" ht="18">
      <c r="A2" s="479" t="s">
        <v>54</v>
      </c>
      <c r="B2" s="480"/>
      <c r="C2" s="480"/>
      <c r="D2" s="480"/>
      <c r="E2" s="384"/>
      <c r="F2" s="384"/>
      <c r="G2" s="481"/>
      <c r="H2" s="3"/>
      <c r="I2" s="3"/>
      <c r="J2" s="3"/>
      <c r="K2" s="3"/>
      <c r="L2" s="3"/>
      <c r="M2" s="3"/>
      <c r="N2" s="3"/>
      <c r="O2" s="3"/>
      <c r="P2" s="3"/>
      <c r="Q2" s="3"/>
      <c r="R2" s="3"/>
      <c r="S2" s="840"/>
      <c r="T2" s="840"/>
      <c r="U2" s="840"/>
    </row>
    <row r="3" spans="1:21" ht="18" thickBot="1">
      <c r="A3" s="482" t="s">
        <v>342</v>
      </c>
      <c r="B3" s="483"/>
      <c r="C3" s="483"/>
      <c r="D3" s="483"/>
      <c r="E3" s="484"/>
      <c r="F3" s="127"/>
      <c r="G3" s="485"/>
      <c r="H3" s="3"/>
      <c r="I3" s="446" t="s">
        <v>38</v>
      </c>
      <c r="J3" s="460" t="str">
        <f>'Title Page'!F23</f>
        <v>2019 June 21</v>
      </c>
      <c r="K3" s="366"/>
      <c r="L3" s="4" t="s">
        <v>715</v>
      </c>
      <c r="M3" s="4" t="s">
        <v>715</v>
      </c>
      <c r="N3" s="3"/>
      <c r="O3" s="3"/>
      <c r="P3" s="3"/>
      <c r="Q3" s="3"/>
      <c r="R3" s="3"/>
      <c r="S3" s="840"/>
      <c r="T3" s="840"/>
      <c r="U3" s="840"/>
    </row>
    <row r="4" spans="1:21" ht="13.5" thickBot="1">
      <c r="A4" s="4"/>
      <c r="B4" s="3"/>
      <c r="C4" s="3"/>
      <c r="D4" s="3"/>
      <c r="E4" s="3"/>
      <c r="F4" s="3"/>
      <c r="G4" s="3"/>
      <c r="H4" s="3"/>
      <c r="I4" s="3"/>
      <c r="J4" s="3"/>
      <c r="K4" s="3"/>
      <c r="L4" s="3"/>
      <c r="M4" s="4"/>
      <c r="N4" s="3"/>
      <c r="O4" s="3"/>
      <c r="P4" s="3"/>
      <c r="Q4" s="3"/>
      <c r="R4" s="3"/>
      <c r="S4" s="840"/>
      <c r="T4" s="840"/>
      <c r="U4" s="840"/>
    </row>
    <row r="5" spans="1:21" ht="13.5" thickBot="1">
      <c r="A5" s="571" t="s">
        <v>753</v>
      </c>
      <c r="B5" s="570">
        <v>8.1999999999999993</v>
      </c>
      <c r="C5" s="3" t="s">
        <v>39</v>
      </c>
      <c r="D5" s="3"/>
      <c r="E5" s="491" t="s">
        <v>40</v>
      </c>
      <c r="F5" s="495">
        <f>20.4+20*LOG10(B6)+20*LOG10(B5)+10*LOG10(B7/100)</f>
        <v>58.686579312516898</v>
      </c>
      <c r="G5" s="3" t="s">
        <v>715</v>
      </c>
      <c r="H5" s="385" t="s">
        <v>603</v>
      </c>
      <c r="I5" s="315"/>
      <c r="J5" s="185"/>
      <c r="K5" s="3"/>
      <c r="L5" s="3"/>
      <c r="M5" s="3"/>
      <c r="N5" s="3"/>
      <c r="O5" s="3"/>
      <c r="P5" s="3"/>
      <c r="Q5" s="3"/>
      <c r="R5" s="3"/>
      <c r="S5" s="840"/>
      <c r="T5" s="840"/>
      <c r="U5" s="840"/>
    </row>
    <row r="6" spans="1:21" ht="13.5" thickBot="1">
      <c r="A6" s="571" t="s">
        <v>41</v>
      </c>
      <c r="B6" s="570">
        <v>13.5</v>
      </c>
      <c r="C6" s="3" t="s">
        <v>42</v>
      </c>
      <c r="D6" s="3"/>
      <c r="E6" s="3"/>
      <c r="F6" s="79"/>
      <c r="G6" s="3"/>
      <c r="H6" s="3"/>
      <c r="I6" s="3"/>
      <c r="J6" s="3"/>
      <c r="K6" s="3"/>
      <c r="L6" s="3"/>
      <c r="M6" s="3"/>
      <c r="N6" s="3"/>
      <c r="O6" s="3"/>
      <c r="P6" s="3"/>
      <c r="Q6" s="3"/>
      <c r="R6" s="3"/>
      <c r="S6" s="840"/>
      <c r="T6" s="840"/>
      <c r="U6" s="840"/>
    </row>
    <row r="7" spans="1:21" ht="13.5" thickBot="1">
      <c r="A7" s="572" t="s">
        <v>52</v>
      </c>
      <c r="B7" s="570">
        <v>55</v>
      </c>
      <c r="C7" s="3" t="s">
        <v>37</v>
      </c>
      <c r="D7" s="745" t="s">
        <v>150</v>
      </c>
      <c r="E7" s="4" t="s">
        <v>151</v>
      </c>
      <c r="F7" s="807">
        <f>21/(B5*B6)</f>
        <v>0.18970189701897022</v>
      </c>
      <c r="G7" s="3" t="s">
        <v>4</v>
      </c>
      <c r="H7" s="487" t="s">
        <v>162</v>
      </c>
      <c r="I7" s="3"/>
      <c r="J7" s="3"/>
      <c r="K7" s="3"/>
      <c r="L7" s="3"/>
      <c r="M7" s="3"/>
      <c r="N7" s="3"/>
      <c r="O7" s="3"/>
      <c r="P7" s="3"/>
      <c r="Q7" s="3"/>
      <c r="R7" s="28" t="s">
        <v>715</v>
      </c>
      <c r="S7" s="134">
        <f>F7/2</f>
        <v>9.4850948509485111E-2</v>
      </c>
      <c r="T7" s="840"/>
      <c r="U7" s="840"/>
    </row>
    <row r="8" spans="1:21" ht="13.5" thickBot="1">
      <c r="A8" s="847"/>
      <c r="B8" s="848"/>
      <c r="C8" s="849"/>
      <c r="D8" s="850"/>
      <c r="E8" s="851"/>
      <c r="F8" s="852"/>
      <c r="G8" s="3"/>
      <c r="H8" s="487"/>
      <c r="I8" s="3"/>
      <c r="J8" s="3"/>
      <c r="K8" s="3"/>
      <c r="L8" s="3"/>
      <c r="M8" s="3"/>
      <c r="N8" s="3"/>
      <c r="O8" s="3"/>
      <c r="P8" s="3"/>
      <c r="Q8" s="3"/>
      <c r="R8" s="28"/>
      <c r="S8" s="134"/>
      <c r="T8" s="840"/>
      <c r="U8" s="840"/>
    </row>
    <row r="9" spans="1:21" ht="13" customHeight="1" thickBot="1">
      <c r="A9" s="847"/>
      <c r="B9" s="848"/>
      <c r="C9" s="849"/>
      <c r="D9" s="850" t="s">
        <v>87</v>
      </c>
      <c r="E9" s="851"/>
      <c r="F9" s="853">
        <f>299.8/(B5*1000)</f>
        <v>3.6560975609756102E-2</v>
      </c>
      <c r="G9" s="3" t="s">
        <v>928</v>
      </c>
      <c r="H9" s="487"/>
      <c r="I9" s="3"/>
      <c r="J9" s="3"/>
      <c r="K9" s="3"/>
      <c r="L9" s="3"/>
      <c r="M9" s="3"/>
      <c r="N9" s="3"/>
      <c r="O9" s="3"/>
      <c r="P9" s="3"/>
      <c r="Q9" s="3"/>
      <c r="R9" s="28"/>
      <c r="S9" s="134"/>
      <c r="T9" s="840"/>
      <c r="U9" s="840"/>
    </row>
    <row r="10" spans="1:21" ht="13.5" thickBot="1">
      <c r="A10" s="847"/>
      <c r="B10" s="848"/>
      <c r="C10" s="849"/>
      <c r="D10" s="850"/>
      <c r="E10" s="851"/>
      <c r="F10" s="852"/>
      <c r="G10" s="3"/>
      <c r="H10" s="862" t="s">
        <v>931</v>
      </c>
      <c r="I10" s="3"/>
      <c r="J10" s="3"/>
      <c r="K10" s="3" t="s">
        <v>715</v>
      </c>
      <c r="L10" s="3"/>
      <c r="M10" s="3"/>
      <c r="N10" s="3"/>
      <c r="O10" s="3"/>
      <c r="P10" s="3"/>
      <c r="Q10" s="3"/>
      <c r="R10" s="28"/>
      <c r="S10" s="134"/>
      <c r="T10" s="840"/>
      <c r="U10" s="840"/>
    </row>
    <row r="11" spans="1:21" ht="13" customHeight="1" thickBot="1">
      <c r="A11" s="847"/>
      <c r="B11" s="848"/>
      <c r="C11" s="849"/>
      <c r="D11" s="854" t="s">
        <v>926</v>
      </c>
      <c r="E11" s="851"/>
      <c r="F11" s="855">
        <f>B6/F9</f>
        <v>369.24616410940621</v>
      </c>
      <c r="G11" s="3" t="s">
        <v>929</v>
      </c>
      <c r="H11" s="856" t="str">
        <f>IF(F11&gt;9.99, "OK", "Too Small")</f>
        <v>OK</v>
      </c>
      <c r="I11" s="3"/>
      <c r="J11" s="3"/>
      <c r="K11" s="3"/>
      <c r="L11" s="3"/>
      <c r="M11" s="3"/>
      <c r="N11" s="3"/>
      <c r="O11" s="3"/>
      <c r="P11" s="3"/>
      <c r="Q11" s="3"/>
      <c r="R11" s="28"/>
      <c r="S11" s="134"/>
      <c r="T11" s="840"/>
      <c r="U11" s="840"/>
    </row>
    <row r="12" spans="1:21" ht="13.5" thickBot="1">
      <c r="A12" s="486"/>
      <c r="B12" s="488"/>
      <c r="C12" s="94"/>
      <c r="D12" s="94"/>
      <c r="E12" s="4"/>
      <c r="F12" s="489"/>
      <c r="G12" s="94"/>
      <c r="H12" s="230"/>
      <c r="I12" s="94"/>
      <c r="J12" s="94"/>
      <c r="K12" s="94"/>
      <c r="L12" s="94"/>
      <c r="M12" s="94"/>
      <c r="N12" s="94"/>
      <c r="O12" s="94"/>
      <c r="P12" s="94"/>
      <c r="Q12" s="94"/>
      <c r="R12" s="490"/>
      <c r="S12" s="134"/>
      <c r="T12" s="840"/>
      <c r="U12" s="840"/>
    </row>
    <row r="13" spans="1:21">
      <c r="A13" s="686" t="s">
        <v>140</v>
      </c>
      <c r="B13" s="473" t="s">
        <v>129</v>
      </c>
      <c r="C13" s="474"/>
      <c r="D13" s="474"/>
      <c r="E13" s="474"/>
      <c r="F13" s="496"/>
      <c r="G13" s="80"/>
      <c r="H13" s="80"/>
      <c r="I13" s="80"/>
      <c r="J13" s="80"/>
      <c r="K13" s="96"/>
      <c r="L13" s="3"/>
      <c r="M13" s="3"/>
      <c r="N13" s="3"/>
      <c r="O13" s="3"/>
      <c r="P13" s="3"/>
      <c r="Q13" s="3"/>
      <c r="R13" s="840"/>
      <c r="S13" s="840"/>
      <c r="T13" s="840"/>
      <c r="U13" s="840"/>
    </row>
    <row r="14" spans="1:21" ht="13.5" thickBot="1">
      <c r="A14" s="872"/>
      <c r="B14" s="873"/>
      <c r="C14" s="872" t="s">
        <v>715</v>
      </c>
      <c r="D14" s="872"/>
      <c r="E14" s="872"/>
      <c r="F14" s="497" t="s">
        <v>55</v>
      </c>
      <c r="G14" s="498"/>
      <c r="H14" s="498"/>
      <c r="I14" s="499" t="s">
        <v>56</v>
      </c>
      <c r="J14" s="498"/>
      <c r="K14" s="500"/>
      <c r="L14" s="3"/>
      <c r="M14" s="3"/>
      <c r="N14" s="3"/>
      <c r="O14" s="3"/>
      <c r="P14" s="3"/>
      <c r="Q14" s="4"/>
      <c r="R14" s="840"/>
      <c r="S14" s="840"/>
      <c r="T14" s="840"/>
      <c r="U14" s="842"/>
    </row>
    <row r="15" spans="1:21" ht="13">
      <c r="A15" s="870"/>
      <c r="B15" s="870">
        <v>1E-4</v>
      </c>
      <c r="C15" s="871">
        <f>((SIN(RADIANS(B15)))^2)/B15^2</f>
        <v>3.046174197863993E-4</v>
      </c>
      <c r="D15" s="870">
        <f>C15*1000000</f>
        <v>304.6174197863993</v>
      </c>
      <c r="E15" s="871">
        <f>D15/304.6174</f>
        <v>1.0000000649549217</v>
      </c>
      <c r="F15" s="253">
        <v>0</v>
      </c>
      <c r="G15" s="251" t="s">
        <v>757</v>
      </c>
      <c r="H15" s="251"/>
      <c r="I15" s="262">
        <f>(S7*B15)/79.76</f>
        <v>1.1892044697778975E-7</v>
      </c>
      <c r="J15" s="263" t="s">
        <v>43</v>
      </c>
      <c r="K15" s="87"/>
      <c r="L15" s="3"/>
      <c r="M15" s="3"/>
      <c r="N15" s="3"/>
      <c r="O15" s="3"/>
      <c r="P15" s="3"/>
      <c r="Q15" s="3"/>
      <c r="R15" s="840"/>
      <c r="S15" s="841"/>
      <c r="T15" s="840"/>
      <c r="U15" s="843"/>
    </row>
    <row r="16" spans="1:21" ht="13">
      <c r="A16" s="870"/>
      <c r="B16" s="870">
        <v>0.1</v>
      </c>
      <c r="C16" s="871">
        <f>((SIN(RADIANS(B16)))^2)/B16^2</f>
        <v>3.0461711048092603E-4</v>
      </c>
      <c r="D16" s="870">
        <f>C16*1000000</f>
        <v>304.61711048092604</v>
      </c>
      <c r="E16" s="870">
        <f t="shared" ref="E16:E81" si="0">D16/304.6174</f>
        <v>0.99999904956488395</v>
      </c>
      <c r="F16" s="642">
        <f>10*LOG10(E16)</f>
        <v>-4.1276892246433878E-6</v>
      </c>
      <c r="G16" s="251" t="s">
        <v>757</v>
      </c>
      <c r="H16" s="251"/>
      <c r="I16" s="252">
        <f>(S7*B16)/79.76</f>
        <v>1.1892044697778976E-4</v>
      </c>
      <c r="J16" s="86"/>
      <c r="K16" s="87"/>
      <c r="L16" s="3"/>
      <c r="M16" s="3"/>
      <c r="N16" s="3"/>
      <c r="O16" s="3"/>
      <c r="P16" s="3"/>
      <c r="Q16" s="3"/>
      <c r="R16" s="840"/>
      <c r="S16" s="840"/>
      <c r="T16" s="840"/>
      <c r="U16" s="844"/>
    </row>
    <row r="17" spans="1:21" ht="13">
      <c r="A17" s="870" t="s">
        <v>715</v>
      </c>
      <c r="B17" s="870">
        <v>3.5</v>
      </c>
      <c r="C17" s="870">
        <f>((SIN(RADIANS(B17)))^2)/B17^2</f>
        <v>3.0423870851746797E-4</v>
      </c>
      <c r="D17" s="870">
        <f>C17*1000000</f>
        <v>304.23870851746796</v>
      </c>
      <c r="E17" s="870">
        <f t="shared" si="0"/>
        <v>0.99875682911569719</v>
      </c>
      <c r="F17" s="253">
        <f>10*LOG10(E17)</f>
        <v>-5.4023812889198589E-3</v>
      </c>
      <c r="G17" s="251" t="s">
        <v>757</v>
      </c>
      <c r="H17" s="251" t="s">
        <v>715</v>
      </c>
      <c r="I17" s="252">
        <f>(S7*B17)/79.76</f>
        <v>4.1622156442226417E-3</v>
      </c>
      <c r="J17" s="86" t="s">
        <v>715</v>
      </c>
      <c r="K17" s="87"/>
      <c r="L17" s="3"/>
      <c r="M17" s="3"/>
      <c r="N17" s="3"/>
      <c r="O17" s="3"/>
      <c r="P17" s="3"/>
      <c r="Q17" s="3"/>
      <c r="R17" s="840"/>
      <c r="S17" s="840"/>
      <c r="T17" s="840"/>
      <c r="U17" s="845"/>
    </row>
    <row r="18" spans="1:21" ht="13">
      <c r="A18" s="870"/>
      <c r="B18" s="870">
        <v>10</v>
      </c>
      <c r="C18" s="870">
        <f t="shared" ref="C18:C24" si="1">((SIN(RADIANS(B18)))^2)/B18^2</f>
        <v>3.0153689607045805E-4</v>
      </c>
      <c r="D18" s="870">
        <f t="shared" ref="D18:D83" si="2">C18*1000000</f>
        <v>301.53689607045806</v>
      </c>
      <c r="E18" s="870">
        <f t="shared" si="0"/>
        <v>0.98988730148198389</v>
      </c>
      <c r="F18" s="253">
        <f>10*LOG10(E18)</f>
        <v>-4.4142469484505009E-2</v>
      </c>
      <c r="G18" s="251" t="s">
        <v>757</v>
      </c>
      <c r="H18" s="251"/>
      <c r="I18" s="252">
        <f>(S7*B18)/79.76</f>
        <v>1.1892044697778974E-2</v>
      </c>
      <c r="J18" s="86"/>
      <c r="K18" s="87"/>
      <c r="L18" s="3"/>
      <c r="M18" s="3"/>
      <c r="N18" s="3"/>
      <c r="O18" s="3"/>
      <c r="P18" s="3"/>
      <c r="Q18" s="28"/>
      <c r="R18" s="840"/>
      <c r="S18" s="840"/>
      <c r="T18" s="840"/>
      <c r="U18" s="845"/>
    </row>
    <row r="19" spans="1:21" ht="13">
      <c r="A19" s="870"/>
      <c r="B19" s="870">
        <v>25</v>
      </c>
      <c r="C19" s="870">
        <f t="shared" si="1"/>
        <v>2.8576991225076853E-4</v>
      </c>
      <c r="D19" s="870">
        <f t="shared" si="2"/>
        <v>285.76991225076853</v>
      </c>
      <c r="E19" s="870">
        <f t="shared" si="0"/>
        <v>0.93812734351605831</v>
      </c>
      <c r="F19" s="255">
        <f t="shared" ref="F19:F84" si="3">10*LOG10(E19)</f>
        <v>-0.27738205509447322</v>
      </c>
      <c r="G19" s="251" t="s">
        <v>757</v>
      </c>
      <c r="H19" s="251"/>
      <c r="I19" s="254">
        <f>(S7*B19)/79.76</f>
        <v>2.9730111744447441E-2</v>
      </c>
      <c r="J19" s="86"/>
      <c r="K19" s="87"/>
      <c r="L19" s="3"/>
      <c r="M19" s="3"/>
      <c r="N19" s="3"/>
      <c r="O19" s="3"/>
      <c r="P19" s="3"/>
      <c r="Q19" s="492"/>
      <c r="R19" s="840"/>
      <c r="S19" s="840"/>
      <c r="T19" s="840"/>
      <c r="U19" s="845"/>
    </row>
    <row r="20" spans="1:21" ht="13">
      <c r="A20" s="870"/>
      <c r="B20" s="870">
        <v>30</v>
      </c>
      <c r="C20" s="870">
        <f t="shared" si="1"/>
        <v>2.7777777777777772E-4</v>
      </c>
      <c r="D20" s="870">
        <f t="shared" si="2"/>
        <v>277.77777777777771</v>
      </c>
      <c r="E20" s="870">
        <f t="shared" si="0"/>
        <v>0.91189071201375149</v>
      </c>
      <c r="F20" s="255">
        <f t="shared" si="3"/>
        <v>-0.4005720773893886</v>
      </c>
      <c r="G20" s="251" t="s">
        <v>757</v>
      </c>
      <c r="H20" s="251"/>
      <c r="I20" s="254">
        <f>(S7*B20)/79.76</f>
        <v>3.5676134093336927E-2</v>
      </c>
      <c r="J20" s="86"/>
      <c r="K20" s="87"/>
      <c r="L20" s="3"/>
      <c r="M20" s="3"/>
      <c r="N20" s="3"/>
      <c r="O20" s="3"/>
      <c r="P20" s="3"/>
      <c r="Q20" s="492"/>
      <c r="R20" s="840"/>
      <c r="S20" s="840"/>
      <c r="T20" s="840"/>
      <c r="U20" s="845"/>
    </row>
    <row r="21" spans="1:21" ht="13">
      <c r="A21" s="870"/>
      <c r="B21" s="870">
        <v>40</v>
      </c>
      <c r="C21" s="870">
        <f t="shared" si="1"/>
        <v>2.5823494447908422E-4</v>
      </c>
      <c r="D21" s="870">
        <f t="shared" si="2"/>
        <v>258.23494447908422</v>
      </c>
      <c r="E21" s="870">
        <f t="shared" si="0"/>
        <v>0.84773537059630943</v>
      </c>
      <c r="F21" s="255">
        <f t="shared" si="3"/>
        <v>-0.71739696122706598</v>
      </c>
      <c r="G21" s="251" t="s">
        <v>757</v>
      </c>
      <c r="H21" s="251"/>
      <c r="I21" s="879">
        <f>(S7*B21)/79.76</f>
        <v>4.7568178791115898E-2</v>
      </c>
      <c r="J21" s="86" t="s">
        <v>715</v>
      </c>
      <c r="K21" s="87"/>
      <c r="L21" s="3"/>
      <c r="M21" s="3"/>
      <c r="N21" s="3"/>
      <c r="O21" s="3"/>
      <c r="P21" s="3"/>
      <c r="Q21" s="492"/>
      <c r="R21" s="840"/>
      <c r="S21" s="840"/>
      <c r="T21" s="840"/>
      <c r="U21" s="845"/>
    </row>
    <row r="22" spans="1:21" ht="13">
      <c r="A22" s="870"/>
      <c r="B22" s="870">
        <v>47</v>
      </c>
      <c r="C22" s="870">
        <f t="shared" si="1"/>
        <v>2.4213591528839411E-4</v>
      </c>
      <c r="D22" s="870">
        <f t="shared" si="2"/>
        <v>242.1359152883941</v>
      </c>
      <c r="E22" s="870">
        <f t="shared" si="0"/>
        <v>0.79488537190716657</v>
      </c>
      <c r="F22" s="863">
        <f t="shared" si="3"/>
        <v>-0.99695495164283776</v>
      </c>
      <c r="G22" s="864" t="s">
        <v>757</v>
      </c>
      <c r="H22" s="864"/>
      <c r="I22" s="869">
        <f>(S7*B22)/79.76</f>
        <v>5.5892610079561179E-2</v>
      </c>
      <c r="J22" s="866"/>
      <c r="K22" s="867"/>
      <c r="L22" s="3"/>
      <c r="M22" s="3"/>
      <c r="N22" s="3"/>
      <c r="O22" s="3"/>
      <c r="P22" s="3"/>
      <c r="Q22" s="492"/>
      <c r="R22" s="840"/>
      <c r="S22" s="840"/>
      <c r="T22" s="840"/>
      <c r="U22" s="846"/>
    </row>
    <row r="23" spans="1:21" ht="13">
      <c r="A23" s="870"/>
      <c r="B23" s="870">
        <v>56.5</v>
      </c>
      <c r="C23" s="870">
        <f t="shared" si="1"/>
        <v>2.1782929414821425E-4</v>
      </c>
      <c r="D23" s="870">
        <f t="shared" si="2"/>
        <v>217.82929414821425</v>
      </c>
      <c r="E23" s="870">
        <f t="shared" si="0"/>
        <v>0.71509143649776497</v>
      </c>
      <c r="F23" s="255">
        <f t="shared" si="3"/>
        <v>-1.4563842277584849</v>
      </c>
      <c r="G23" s="251" t="s">
        <v>757</v>
      </c>
      <c r="H23" s="251"/>
      <c r="I23" s="254">
        <f>(S7*B23)/79.76</f>
        <v>6.7190052542451209E-2</v>
      </c>
      <c r="J23" s="86" t="s">
        <v>715</v>
      </c>
      <c r="K23" s="87"/>
      <c r="L23" s="3"/>
      <c r="M23" s="3"/>
      <c r="N23" s="3"/>
      <c r="O23" s="3"/>
      <c r="P23" s="3"/>
      <c r="Q23" s="492"/>
      <c r="R23" s="840"/>
      <c r="S23" s="840"/>
      <c r="T23" s="840"/>
      <c r="U23" s="846"/>
    </row>
    <row r="24" spans="1:21" ht="13">
      <c r="A24" s="870"/>
      <c r="B24" s="870">
        <v>60</v>
      </c>
      <c r="C24" s="870">
        <f t="shared" si="1"/>
        <v>2.0833333333333329E-4</v>
      </c>
      <c r="D24" s="870">
        <f t="shared" si="2"/>
        <v>208.33333333333329</v>
      </c>
      <c r="E24" s="870">
        <f t="shared" si="0"/>
        <v>0.68391803401031359</v>
      </c>
      <c r="F24" s="255">
        <f t="shared" si="3"/>
        <v>-1.6499594434723883</v>
      </c>
      <c r="G24" s="251" t="s">
        <v>757</v>
      </c>
      <c r="H24" s="251"/>
      <c r="I24" s="254">
        <f>(S7*B24)/79.76</f>
        <v>7.1352268186673853E-2</v>
      </c>
      <c r="J24" s="86"/>
      <c r="K24" s="87"/>
      <c r="L24" s="3"/>
      <c r="M24" s="3"/>
      <c r="N24" s="3"/>
      <c r="O24" s="3"/>
      <c r="P24" s="3"/>
      <c r="Q24" s="492"/>
      <c r="R24" s="840"/>
      <c r="S24" s="840"/>
      <c r="T24" s="840"/>
      <c r="U24" s="846"/>
    </row>
    <row r="25" spans="1:21" ht="13">
      <c r="A25" s="870"/>
      <c r="B25" s="870">
        <v>65</v>
      </c>
      <c r="C25" s="870">
        <f t="shared" ref="C25:C56" si="4">((SIN(RADIANS(B25)))^2)/B25^2</f>
        <v>1.9441273487414665E-4</v>
      </c>
      <c r="D25" s="870">
        <f>C25*1000000</f>
        <v>194.41273487414665</v>
      </c>
      <c r="E25" s="870">
        <f>D25/304.6174</f>
        <v>0.63821940202413474</v>
      </c>
      <c r="F25" s="868">
        <f>10*LOG10(E25)</f>
        <v>-1.9502999728456567</v>
      </c>
      <c r="G25" s="864" t="s">
        <v>757</v>
      </c>
      <c r="H25" s="864"/>
      <c r="I25" s="869">
        <f>(S7*B25)/79.76</f>
        <v>7.7298290535563335E-2</v>
      </c>
      <c r="J25" s="866"/>
      <c r="K25" s="867"/>
      <c r="L25" s="3"/>
      <c r="M25" s="3" t="s">
        <v>715</v>
      </c>
      <c r="N25" s="3"/>
      <c r="O25" s="3"/>
      <c r="P25" s="3"/>
      <c r="Q25" s="492"/>
      <c r="R25" s="849"/>
      <c r="S25" s="849"/>
      <c r="T25" s="849"/>
      <c r="U25" s="846"/>
    </row>
    <row r="26" spans="1:21" ht="13">
      <c r="A26" s="870"/>
      <c r="B26" s="870">
        <v>70</v>
      </c>
      <c r="C26" s="870">
        <f t="shared" si="4"/>
        <v>1.8020861664479364E-4</v>
      </c>
      <c r="D26" s="870">
        <f t="shared" si="2"/>
        <v>180.20861664479364</v>
      </c>
      <c r="E26" s="870">
        <f t="shared" si="0"/>
        <v>0.59159002947564276</v>
      </c>
      <c r="F26" s="255">
        <f t="shared" si="3"/>
        <v>-2.2797915411429233</v>
      </c>
      <c r="G26" s="251" t="s">
        <v>757</v>
      </c>
      <c r="H26" s="251"/>
      <c r="I26" s="254">
        <f>(S7*B26)/79.76</f>
        <v>8.3244312884452831E-2</v>
      </c>
      <c r="J26" s="86"/>
      <c r="K26" s="87"/>
      <c r="L26" s="3"/>
      <c r="M26" s="3"/>
      <c r="N26" s="3"/>
      <c r="O26" s="3"/>
      <c r="P26" s="3"/>
      <c r="Q26" s="493"/>
      <c r="R26" s="840"/>
      <c r="S26" s="841"/>
      <c r="T26" s="840"/>
      <c r="U26" s="844"/>
    </row>
    <row r="27" spans="1:21" ht="13">
      <c r="A27" s="870"/>
      <c r="B27" s="870">
        <v>79.760000000000005</v>
      </c>
      <c r="C27" s="870">
        <f t="shared" si="4"/>
        <v>1.5222403494475541E-4</v>
      </c>
      <c r="D27" s="870">
        <f t="shared" si="2"/>
        <v>152.2240349447554</v>
      </c>
      <c r="E27" s="870">
        <f t="shared" si="0"/>
        <v>0.49972206100096517</v>
      </c>
      <c r="F27" s="874">
        <f t="shared" si="3"/>
        <v>-3.0127147753460362</v>
      </c>
      <c r="G27" s="875" t="s">
        <v>757</v>
      </c>
      <c r="H27" s="875"/>
      <c r="I27" s="876">
        <f>(S7*B27)/79.76</f>
        <v>9.4850948509485111E-2</v>
      </c>
      <c r="J27" s="877" t="s">
        <v>53</v>
      </c>
      <c r="K27" s="878"/>
      <c r="L27" s="3"/>
      <c r="M27" s="3"/>
      <c r="N27" s="3"/>
      <c r="O27" s="3"/>
      <c r="P27" s="3"/>
      <c r="Q27" s="494"/>
      <c r="R27" s="840"/>
      <c r="S27" s="840"/>
      <c r="T27" s="840"/>
      <c r="U27" s="846"/>
    </row>
    <row r="28" spans="1:21" ht="13">
      <c r="A28" s="870"/>
      <c r="B28" s="870">
        <v>80</v>
      </c>
      <c r="C28" s="870">
        <f t="shared" si="4"/>
        <v>1.5153848599889908E-4</v>
      </c>
      <c r="D28" s="870">
        <f t="shared" si="2"/>
        <v>151.53848599889909</v>
      </c>
      <c r="E28" s="870">
        <f t="shared" si="0"/>
        <v>0.49747153642207931</v>
      </c>
      <c r="F28" s="253">
        <f t="shared" si="3"/>
        <v>-3.032317630156677</v>
      </c>
      <c r="G28" s="251" t="s">
        <v>757</v>
      </c>
      <c r="H28" s="251"/>
      <c r="I28" s="254">
        <f>(S7*B28)/79.76</f>
        <v>9.5136357582231795E-2</v>
      </c>
      <c r="J28" s="86" t="s">
        <v>715</v>
      </c>
      <c r="K28" s="87"/>
      <c r="L28" s="3"/>
      <c r="M28" s="3"/>
      <c r="N28" s="3"/>
      <c r="O28" s="3"/>
      <c r="P28" s="3"/>
      <c r="Q28" s="492"/>
      <c r="R28" s="840"/>
      <c r="S28" s="840"/>
      <c r="T28" s="840"/>
      <c r="U28" s="846"/>
    </row>
    <row r="29" spans="1:21" ht="13">
      <c r="A29" s="870"/>
      <c r="B29" s="870">
        <v>90.8</v>
      </c>
      <c r="C29" s="870">
        <f t="shared" si="4"/>
        <v>1.2126727880419004E-4</v>
      </c>
      <c r="D29" s="870">
        <f t="shared" si="2"/>
        <v>121.26727880419004</v>
      </c>
      <c r="E29" s="870">
        <f t="shared" si="0"/>
        <v>0.39809701876580278</v>
      </c>
      <c r="F29" s="863">
        <f t="shared" si="3"/>
        <v>-4.000110747103232</v>
      </c>
      <c r="G29" s="864" t="s">
        <v>757</v>
      </c>
      <c r="H29" s="864"/>
      <c r="I29" s="865">
        <f>(S7*B29)/79.76</f>
        <v>0.10797976585583309</v>
      </c>
      <c r="J29" s="866"/>
      <c r="K29" s="867"/>
      <c r="L29" s="3"/>
      <c r="M29" s="3"/>
      <c r="N29" s="3"/>
      <c r="O29" s="3"/>
      <c r="P29" s="3"/>
      <c r="Q29" s="492"/>
      <c r="R29" s="840"/>
      <c r="S29" s="840"/>
      <c r="T29" s="840"/>
      <c r="U29" s="846"/>
    </row>
    <row r="30" spans="1:21" ht="13">
      <c r="A30" s="870"/>
      <c r="B30" s="870">
        <v>100</v>
      </c>
      <c r="C30" s="870">
        <f t="shared" si="4"/>
        <v>9.6984631039295408E-5</v>
      </c>
      <c r="D30" s="870">
        <f t="shared" si="2"/>
        <v>96.984631039295408</v>
      </c>
      <c r="E30" s="870">
        <f t="shared" si="0"/>
        <v>0.31838178331013073</v>
      </c>
      <c r="F30" s="868">
        <f t="shared" si="3"/>
        <v>-4.9705178903178053</v>
      </c>
      <c r="G30" s="864" t="s">
        <v>757</v>
      </c>
      <c r="H30" s="864"/>
      <c r="I30" s="869">
        <f>(S7*B30)/79.76</f>
        <v>0.11892044697778976</v>
      </c>
      <c r="J30" s="866"/>
      <c r="K30" s="867"/>
      <c r="L30" s="3"/>
      <c r="M30" s="3"/>
      <c r="N30" s="3"/>
      <c r="O30" s="3"/>
      <c r="P30" s="3"/>
      <c r="Q30" s="492"/>
      <c r="R30" s="840"/>
      <c r="S30" s="840"/>
      <c r="T30" s="840"/>
      <c r="U30" s="846"/>
    </row>
    <row r="31" spans="1:21" ht="13">
      <c r="A31" s="870"/>
      <c r="B31" s="870">
        <v>110</v>
      </c>
      <c r="C31" s="870">
        <f t="shared" si="4"/>
        <v>7.2977043104090002E-5</v>
      </c>
      <c r="D31" s="870">
        <f t="shared" si="2"/>
        <v>72.977043104090001</v>
      </c>
      <c r="E31" s="870">
        <f t="shared" si="0"/>
        <v>0.23956951606864876</v>
      </c>
      <c r="F31" s="255">
        <f t="shared" si="3"/>
        <v>-6.2056844440222871</v>
      </c>
      <c r="G31" s="251" t="s">
        <v>757</v>
      </c>
      <c r="H31" s="251"/>
      <c r="I31" s="254">
        <f>(S7*B31)/79.76</f>
        <v>0.13081249167556874</v>
      </c>
      <c r="J31" s="86"/>
      <c r="K31" s="87"/>
      <c r="L31" s="3"/>
      <c r="M31" s="3"/>
      <c r="N31" s="3"/>
      <c r="O31" s="3"/>
      <c r="P31" s="3"/>
      <c r="Q31" s="492"/>
      <c r="R31" s="840"/>
      <c r="S31" s="840"/>
      <c r="T31" s="840"/>
      <c r="U31" s="846"/>
    </row>
    <row r="32" spans="1:21" ht="13">
      <c r="A32" s="870"/>
      <c r="B32" s="870">
        <v>122</v>
      </c>
      <c r="C32" s="870">
        <f t="shared" si="4"/>
        <v>4.8319374724169503E-5</v>
      </c>
      <c r="D32" s="870">
        <f t="shared" si="2"/>
        <v>48.319374724169499</v>
      </c>
      <c r="E32" s="870">
        <f t="shared" si="0"/>
        <v>0.15862316047661593</v>
      </c>
      <c r="F32" s="868">
        <f t="shared" si="3"/>
        <v>-7.9963340130062619</v>
      </c>
      <c r="G32" s="864" t="s">
        <v>757</v>
      </c>
      <c r="H32" s="864"/>
      <c r="I32" s="865">
        <f>(S7*B32)/79.76</f>
        <v>0.1450829453129035</v>
      </c>
      <c r="J32" s="866"/>
      <c r="K32" s="867"/>
      <c r="L32" s="3"/>
      <c r="M32" s="3"/>
      <c r="N32" s="3"/>
      <c r="O32" s="3"/>
      <c r="P32" s="3"/>
      <c r="Q32" s="492"/>
      <c r="R32" s="840"/>
      <c r="S32" s="840"/>
      <c r="T32" s="840"/>
      <c r="U32" s="846"/>
    </row>
    <row r="33" spans="1:21" ht="13">
      <c r="A33" s="870"/>
      <c r="B33" s="870">
        <v>130</v>
      </c>
      <c r="C33" s="870">
        <f t="shared" si="4"/>
        <v>3.4723318865885511E-5</v>
      </c>
      <c r="D33" s="870">
        <f t="shared" si="2"/>
        <v>34.72331886588551</v>
      </c>
      <c r="E33" s="870">
        <f t="shared" si="0"/>
        <v>0.11398993907073435</v>
      </c>
      <c r="F33" s="255">
        <f t="shared" si="3"/>
        <v>-9.4313347847828624</v>
      </c>
      <c r="G33" s="251" t="s">
        <v>757</v>
      </c>
      <c r="H33" s="251"/>
      <c r="I33" s="254">
        <f>(S7*B33)/79.76</f>
        <v>0.15459658107112667</v>
      </c>
      <c r="J33" s="86"/>
      <c r="K33" s="87"/>
      <c r="L33" s="3"/>
      <c r="M33" s="3"/>
      <c r="N33" s="3"/>
      <c r="O33" s="3"/>
      <c r="P33" s="3"/>
      <c r="Q33" s="492"/>
      <c r="R33" s="840"/>
      <c r="S33" s="840"/>
      <c r="T33" s="840"/>
      <c r="U33" s="846"/>
    </row>
    <row r="34" spans="1:21" ht="13">
      <c r="A34" s="870"/>
      <c r="B34" s="870">
        <v>132.85</v>
      </c>
      <c r="C34" s="870">
        <f t="shared" si="4"/>
        <v>3.0454169232105675E-5</v>
      </c>
      <c r="D34" s="870">
        <f>C34*1000000</f>
        <v>30.454169232105674</v>
      </c>
      <c r="E34" s="870">
        <f>D34/304.6174</f>
        <v>9.9975146633467668E-2</v>
      </c>
      <c r="F34" s="863">
        <f>10*LOG10(E34)</f>
        <v>-10.001079502146041</v>
      </c>
      <c r="G34" s="864" t="s">
        <v>757</v>
      </c>
      <c r="H34" s="864"/>
      <c r="I34" s="869">
        <f>(S7*B34)/79.76</f>
        <v>0.15798581380999369</v>
      </c>
      <c r="J34" s="866"/>
      <c r="K34" s="867"/>
      <c r="L34" s="3"/>
      <c r="M34" s="3"/>
      <c r="N34" s="3"/>
      <c r="O34" s="3"/>
      <c r="P34" s="3"/>
      <c r="Q34" s="492"/>
      <c r="R34" s="849"/>
      <c r="S34" s="849"/>
      <c r="T34" s="849"/>
      <c r="U34" s="846"/>
    </row>
    <row r="35" spans="1:21" ht="13">
      <c r="A35" s="870"/>
      <c r="B35" s="870">
        <v>140</v>
      </c>
      <c r="C35" s="870">
        <f t="shared" si="4"/>
        <v>2.1080403630945664E-5</v>
      </c>
      <c r="D35" s="870">
        <f t="shared" si="2"/>
        <v>21.080403630945664</v>
      </c>
      <c r="E35" s="870">
        <f t="shared" si="0"/>
        <v>6.9202887395617141E-2</v>
      </c>
      <c r="F35" s="255">
        <f t="shared" si="3"/>
        <v>-11.598757848232577</v>
      </c>
      <c r="G35" s="251" t="s">
        <v>757</v>
      </c>
      <c r="H35" s="251"/>
      <c r="I35" s="254">
        <f>(S7*B35)/79.76</f>
        <v>0.16648862576890566</v>
      </c>
      <c r="J35" s="86" t="s">
        <v>715</v>
      </c>
      <c r="K35" s="87"/>
      <c r="L35" s="3"/>
      <c r="M35" s="3"/>
      <c r="N35" s="3"/>
      <c r="O35" s="3"/>
      <c r="P35" s="3"/>
      <c r="Q35" s="492"/>
      <c r="R35" s="840"/>
      <c r="S35" s="840"/>
      <c r="T35" s="840"/>
      <c r="U35" s="846"/>
    </row>
    <row r="36" spans="1:21" ht="13">
      <c r="A36" s="870"/>
      <c r="B36" s="870">
        <v>150</v>
      </c>
      <c r="C36" s="870">
        <f t="shared" si="4"/>
        <v>1.1111111111111108E-5</v>
      </c>
      <c r="D36" s="870">
        <f t="shared" si="2"/>
        <v>11.111111111111109</v>
      </c>
      <c r="E36" s="870">
        <f t="shared" si="0"/>
        <v>3.6475628480550061E-2</v>
      </c>
      <c r="F36" s="255">
        <f t="shared" si="3"/>
        <v>-14.379972164109764</v>
      </c>
      <c r="G36" s="251" t="s">
        <v>757</v>
      </c>
      <c r="H36" s="251"/>
      <c r="I36" s="254">
        <f>(S7*B36)/79.76</f>
        <v>0.17838067046668463</v>
      </c>
      <c r="J36" s="86"/>
      <c r="K36" s="87"/>
      <c r="L36" s="3"/>
      <c r="M36" s="3"/>
      <c r="N36" s="3"/>
      <c r="O36" s="3"/>
      <c r="P36" s="3"/>
      <c r="Q36" s="492"/>
      <c r="R36" s="840"/>
      <c r="S36" s="840"/>
      <c r="T36" s="840"/>
      <c r="U36" s="846"/>
    </row>
    <row r="37" spans="1:21" ht="13">
      <c r="A37" s="870"/>
      <c r="B37" s="870">
        <v>160</v>
      </c>
      <c r="C37" s="870">
        <f t="shared" si="4"/>
        <v>4.5694444703324642E-6</v>
      </c>
      <c r="D37" s="870">
        <f t="shared" si="2"/>
        <v>4.5694444703324644</v>
      </c>
      <c r="E37" s="870">
        <f t="shared" si="0"/>
        <v>1.5000602297611576E-2</v>
      </c>
      <c r="F37" s="255">
        <f t="shared" si="3"/>
        <v>-18.23891302992466</v>
      </c>
      <c r="G37" s="251" t="s">
        <v>757</v>
      </c>
      <c r="H37" s="251"/>
      <c r="I37" s="254">
        <f>(S7*B37)/79.76</f>
        <v>0.19027271516446359</v>
      </c>
      <c r="J37" s="86"/>
      <c r="K37" s="87"/>
      <c r="L37" s="3"/>
      <c r="M37" s="3"/>
      <c r="N37" s="3"/>
      <c r="O37" s="3"/>
      <c r="P37" s="3"/>
      <c r="Q37" s="492"/>
      <c r="R37" s="840"/>
      <c r="S37" s="840"/>
      <c r="T37" s="840"/>
      <c r="U37" s="846"/>
    </row>
    <row r="38" spans="1:21" ht="13">
      <c r="A38" s="870">
        <v>170</v>
      </c>
      <c r="B38" s="870">
        <v>172.5</v>
      </c>
      <c r="C38" s="870">
        <f t="shared" si="4"/>
        <v>5.7255490377536986E-7</v>
      </c>
      <c r="D38" s="870">
        <f t="shared" si="2"/>
        <v>0.57255490377536988</v>
      </c>
      <c r="E38" s="870">
        <f t="shared" si="0"/>
        <v>1.8795869959344737E-3</v>
      </c>
      <c r="F38" s="255">
        <f t="shared" si="3"/>
        <v>-27.259375683380821</v>
      </c>
      <c r="G38" s="251" t="s">
        <v>757</v>
      </c>
      <c r="H38" s="251"/>
      <c r="I38" s="252">
        <f>(S7*B38)/79.76</f>
        <v>0.20513777103668729</v>
      </c>
      <c r="J38" s="86"/>
      <c r="K38" s="87"/>
      <c r="L38" s="3"/>
      <c r="M38" s="3"/>
      <c r="N38" s="3"/>
      <c r="O38" s="3"/>
      <c r="P38" s="3"/>
      <c r="Q38" s="492"/>
      <c r="R38" s="840"/>
      <c r="S38" s="840"/>
      <c r="T38" s="840"/>
      <c r="U38" s="846"/>
    </row>
    <row r="39" spans="1:21" ht="13">
      <c r="A39" s="870"/>
      <c r="B39" s="870">
        <v>180</v>
      </c>
      <c r="C39" s="870">
        <f t="shared" si="4"/>
        <v>4.6326812856943794E-37</v>
      </c>
      <c r="D39" s="870">
        <f t="shared" si="2"/>
        <v>4.6326812856943792E-31</v>
      </c>
      <c r="E39" s="870">
        <f t="shared" si="0"/>
        <v>1.5208196530120668E-33</v>
      </c>
      <c r="F39" s="256">
        <f t="shared" si="3"/>
        <v>-328.17922283873054</v>
      </c>
      <c r="G39" s="251" t="s">
        <v>757</v>
      </c>
      <c r="H39" s="251"/>
      <c r="I39" s="257">
        <f>(S7*B39)/79.76</f>
        <v>0.21405680456002157</v>
      </c>
      <c r="J39" s="191" t="s">
        <v>44</v>
      </c>
      <c r="K39" s="87"/>
      <c r="L39" s="3"/>
      <c r="M39" s="3"/>
      <c r="N39" s="3"/>
      <c r="O39" s="3"/>
      <c r="P39" s="3"/>
      <c r="Q39" s="492"/>
      <c r="R39" s="840"/>
      <c r="S39" s="840"/>
      <c r="T39" s="840"/>
      <c r="U39" s="846"/>
    </row>
    <row r="40" spans="1:21" ht="13">
      <c r="A40" s="870"/>
      <c r="B40" s="870">
        <v>190</v>
      </c>
      <c r="C40" s="870">
        <f t="shared" si="4"/>
        <v>8.3528226058298746E-7</v>
      </c>
      <c r="D40" s="870">
        <f t="shared" si="2"/>
        <v>0.83528226058298749</v>
      </c>
      <c r="E40" s="870">
        <f t="shared" si="0"/>
        <v>2.7420700872077155E-3</v>
      </c>
      <c r="F40" s="255">
        <f t="shared" si="3"/>
        <v>-25.619214488541079</v>
      </c>
      <c r="G40" s="251" t="s">
        <v>757</v>
      </c>
      <c r="H40" s="251"/>
      <c r="I40" s="254">
        <f>(S7*B40)/79.76</f>
        <v>0.22594884925780051</v>
      </c>
      <c r="J40" s="86"/>
      <c r="K40" s="87"/>
      <c r="L40" s="3"/>
      <c r="M40" s="3"/>
      <c r="N40" s="3"/>
      <c r="O40" s="3"/>
      <c r="P40" s="3"/>
      <c r="Q40" s="492"/>
      <c r="R40" s="840"/>
      <c r="S40" s="840"/>
      <c r="T40" s="840"/>
      <c r="U40" s="846"/>
    </row>
    <row r="41" spans="1:21" ht="13">
      <c r="A41" s="870"/>
      <c r="B41" s="870">
        <v>200</v>
      </c>
      <c r="C41" s="870">
        <f t="shared" si="4"/>
        <v>2.924444461012773E-6</v>
      </c>
      <c r="D41" s="870">
        <f t="shared" si="2"/>
        <v>2.9244444610127731</v>
      </c>
      <c r="E41" s="870">
        <f t="shared" si="0"/>
        <v>9.6003854704713957E-3</v>
      </c>
      <c r="F41" s="255">
        <f t="shared" si="3"/>
        <v>-20.177113290085799</v>
      </c>
      <c r="G41" s="251" t="s">
        <v>757</v>
      </c>
      <c r="H41" s="251"/>
      <c r="I41" s="254">
        <f>(S7*B41)/79.76</f>
        <v>0.23784089395557953</v>
      </c>
      <c r="J41" s="86"/>
      <c r="K41" s="87"/>
      <c r="L41" s="3"/>
      <c r="M41" s="3"/>
      <c r="N41" s="3"/>
      <c r="O41" s="3"/>
      <c r="P41" s="3"/>
      <c r="Q41" s="492"/>
      <c r="R41" s="840"/>
      <c r="S41" s="840"/>
      <c r="T41" s="840"/>
      <c r="U41" s="846"/>
    </row>
    <row r="42" spans="1:21" ht="13">
      <c r="A42" s="870"/>
      <c r="B42" s="870">
        <v>210</v>
      </c>
      <c r="C42" s="870">
        <f t="shared" si="4"/>
        <v>5.6689342403628144E-6</v>
      </c>
      <c r="D42" s="870">
        <f t="shared" si="2"/>
        <v>5.6689342403628142</v>
      </c>
      <c r="E42" s="870">
        <f t="shared" si="0"/>
        <v>1.86100145308929E-2</v>
      </c>
      <c r="F42" s="255">
        <f t="shared" si="3"/>
        <v>-17.302532877674523</v>
      </c>
      <c r="G42" s="251" t="s">
        <v>757</v>
      </c>
      <c r="H42" s="251"/>
      <c r="I42" s="254">
        <f>(S7*B42)/79.76</f>
        <v>0.24973293865335847</v>
      </c>
      <c r="J42" s="86"/>
      <c r="K42" s="87"/>
      <c r="L42" s="3"/>
      <c r="M42" s="3"/>
      <c r="N42" s="3"/>
      <c r="O42" s="3"/>
      <c r="P42" s="3"/>
      <c r="Q42" s="492"/>
      <c r="R42" s="840"/>
      <c r="S42" s="840"/>
      <c r="T42" s="840"/>
      <c r="U42" s="846"/>
    </row>
    <row r="43" spans="1:21" ht="13">
      <c r="A43" s="870"/>
      <c r="B43" s="870">
        <v>220</v>
      </c>
      <c r="C43" s="870">
        <f t="shared" si="4"/>
        <v>8.5366923794738577E-6</v>
      </c>
      <c r="D43" s="870">
        <f t="shared" si="2"/>
        <v>8.5366923794738572</v>
      </c>
      <c r="E43" s="870">
        <f t="shared" si="0"/>
        <v>2.8024309771778822E-2</v>
      </c>
      <c r="F43" s="255">
        <f t="shared" si="3"/>
        <v>-15.524650751111944</v>
      </c>
      <c r="G43" s="251" t="s">
        <v>757</v>
      </c>
      <c r="H43" s="251"/>
      <c r="I43" s="254">
        <f>(S7*B43)/79.76</f>
        <v>0.26162498335113749</v>
      </c>
      <c r="J43" s="86"/>
      <c r="K43" s="87"/>
      <c r="L43" s="3"/>
      <c r="M43" s="3"/>
      <c r="N43" s="3"/>
      <c r="O43" s="3"/>
      <c r="P43" s="3"/>
      <c r="Q43" s="492"/>
      <c r="R43" s="840"/>
      <c r="S43" s="840"/>
      <c r="T43" s="840"/>
      <c r="U43" s="846"/>
    </row>
    <row r="44" spans="1:21" ht="13">
      <c r="A44" s="870"/>
      <c r="B44" s="870">
        <v>230</v>
      </c>
      <c r="C44" s="870">
        <f t="shared" si="4"/>
        <v>1.1093082964715783E-5</v>
      </c>
      <c r="D44" s="870">
        <f t="shared" si="2"/>
        <v>11.093082964715784</v>
      </c>
      <c r="E44" s="870">
        <f t="shared" si="0"/>
        <v>3.6416445563240266E-2</v>
      </c>
      <c r="F44" s="255">
        <f t="shared" si="3"/>
        <v>-14.387024458997985</v>
      </c>
      <c r="G44" s="251" t="s">
        <v>757</v>
      </c>
      <c r="H44" s="251"/>
      <c r="I44" s="254">
        <f>(S7*B44)/79.76</f>
        <v>0.27351702804891642</v>
      </c>
      <c r="J44" s="86"/>
      <c r="K44" s="87"/>
      <c r="L44" s="3"/>
      <c r="M44" s="3"/>
      <c r="N44" s="3"/>
      <c r="O44" s="3"/>
      <c r="P44" s="3"/>
      <c r="Q44" s="492"/>
      <c r="R44" s="840"/>
      <c r="S44" s="840"/>
      <c r="T44" s="840"/>
      <c r="U44" s="846"/>
    </row>
    <row r="45" spans="1:21" ht="13">
      <c r="A45" s="870"/>
      <c r="B45" s="870">
        <v>240</v>
      </c>
      <c r="C45" s="870">
        <f t="shared" si="4"/>
        <v>1.3020833333333326E-5</v>
      </c>
      <c r="D45" s="870">
        <f t="shared" si="2"/>
        <v>13.020833333333325</v>
      </c>
      <c r="E45" s="870">
        <f t="shared" si="0"/>
        <v>4.2744877125644586E-2</v>
      </c>
      <c r="F45" s="255">
        <f t="shared" si="3"/>
        <v>-13.691159270031637</v>
      </c>
      <c r="G45" s="251" t="s">
        <v>757</v>
      </c>
      <c r="H45" s="251"/>
      <c r="I45" s="254">
        <f>(S7*B45)/79.76</f>
        <v>0.28540907274669541</v>
      </c>
      <c r="J45" s="86"/>
      <c r="K45" s="87"/>
      <c r="L45" s="3"/>
      <c r="M45" s="3"/>
      <c r="N45" s="3"/>
      <c r="O45" s="3"/>
      <c r="P45" s="3"/>
      <c r="Q45" s="492"/>
      <c r="R45" s="840"/>
      <c r="S45" s="841"/>
      <c r="T45" s="840"/>
      <c r="U45" s="846"/>
    </row>
    <row r="46" spans="1:21" ht="13">
      <c r="A46" s="870"/>
      <c r="B46" s="870">
        <v>250</v>
      </c>
      <c r="C46" s="870">
        <f t="shared" si="4"/>
        <v>1.4128355544951825E-5</v>
      </c>
      <c r="D46" s="870">
        <f t="shared" si="2"/>
        <v>14.128355544951825</v>
      </c>
      <c r="E46" s="870">
        <f t="shared" si="0"/>
        <v>4.6380658310890402E-2</v>
      </c>
      <c r="F46" s="258">
        <f t="shared" si="3"/>
        <v>-13.336630914298537</v>
      </c>
      <c r="G46" s="251" t="s">
        <v>757</v>
      </c>
      <c r="H46" s="251"/>
      <c r="I46" s="259">
        <f>(S7*B46)/79.76</f>
        <v>0.29730111744447435</v>
      </c>
      <c r="J46" s="260" t="s">
        <v>45</v>
      </c>
      <c r="K46" s="261"/>
      <c r="L46" s="3"/>
      <c r="M46" s="3"/>
      <c r="N46" s="3"/>
      <c r="O46" s="3"/>
      <c r="P46" s="3"/>
      <c r="Q46" s="492"/>
      <c r="R46" s="840"/>
      <c r="S46" s="840"/>
      <c r="T46" s="840"/>
      <c r="U46" s="846"/>
    </row>
    <row r="47" spans="1:21" ht="13">
      <c r="A47" s="870"/>
      <c r="B47" s="870">
        <v>260</v>
      </c>
      <c r="C47" s="870">
        <f t="shared" si="4"/>
        <v>1.4346838911138375E-5</v>
      </c>
      <c r="D47" s="870">
        <f t="shared" si="2"/>
        <v>14.346838911138374</v>
      </c>
      <c r="E47" s="870">
        <f t="shared" si="0"/>
        <v>4.7097896939368451E-2</v>
      </c>
      <c r="F47" s="255">
        <f t="shared" si="3"/>
        <v>-13.269984849734165</v>
      </c>
      <c r="G47" s="251" t="s">
        <v>757</v>
      </c>
      <c r="H47" s="251"/>
      <c r="I47" s="254">
        <f>(S7*B47)/79.76</f>
        <v>0.30919316214225334</v>
      </c>
      <c r="J47" s="86"/>
      <c r="K47" s="87"/>
      <c r="L47" s="3"/>
      <c r="M47" s="3"/>
      <c r="N47" s="3"/>
      <c r="O47" s="3"/>
      <c r="P47" s="3"/>
      <c r="Q47" s="492"/>
      <c r="R47" s="840"/>
      <c r="S47" s="840"/>
      <c r="T47" s="840"/>
      <c r="U47" s="846"/>
    </row>
    <row r="48" spans="1:21" ht="13">
      <c r="A48" s="870"/>
      <c r="B48" s="870">
        <v>270</v>
      </c>
      <c r="C48" s="870">
        <f t="shared" si="4"/>
        <v>1.3717421124828532E-5</v>
      </c>
      <c r="D48" s="870">
        <f t="shared" si="2"/>
        <v>13.717421124828531</v>
      </c>
      <c r="E48" s="870">
        <f t="shared" si="0"/>
        <v>4.5031640099444527E-2</v>
      </c>
      <c r="F48" s="255">
        <f t="shared" si="3"/>
        <v>-13.464822352896261</v>
      </c>
      <c r="G48" s="251" t="s">
        <v>757</v>
      </c>
      <c r="H48" s="251"/>
      <c r="I48" s="254">
        <f>(S7*B48)/79.76</f>
        <v>0.32108520684003233</v>
      </c>
      <c r="J48" s="86"/>
      <c r="K48" s="87"/>
      <c r="L48" s="3"/>
      <c r="M48" s="3"/>
      <c r="N48" s="3"/>
      <c r="O48" s="3"/>
      <c r="P48" s="3"/>
      <c r="Q48" s="492"/>
      <c r="R48" s="840"/>
      <c r="S48" s="840"/>
      <c r="T48" s="840"/>
      <c r="U48" s="846"/>
    </row>
    <row r="49" spans="1:21" ht="13">
      <c r="A49" s="870"/>
      <c r="B49" s="870">
        <v>280</v>
      </c>
      <c r="C49" s="870">
        <f t="shared" si="4"/>
        <v>1.2370488652971357E-5</v>
      </c>
      <c r="D49" s="870">
        <f t="shared" si="2"/>
        <v>12.370488652971357</v>
      </c>
      <c r="E49" s="870">
        <f t="shared" si="0"/>
        <v>4.0609921340577913E-2</v>
      </c>
      <c r="F49" s="255">
        <f t="shared" si="3"/>
        <v>-13.91367851716219</v>
      </c>
      <c r="G49" s="251" t="s">
        <v>757</v>
      </c>
      <c r="H49" s="251"/>
      <c r="I49" s="254">
        <f>(S7*B49)/79.76</f>
        <v>0.33297725153781133</v>
      </c>
      <c r="J49" s="86"/>
      <c r="K49" s="87"/>
      <c r="L49" s="3"/>
      <c r="M49" s="3"/>
      <c r="N49" s="3"/>
      <c r="O49" s="3"/>
      <c r="P49" s="3"/>
      <c r="Q49" s="492"/>
      <c r="R49" s="840"/>
      <c r="S49" s="840"/>
      <c r="T49" s="840"/>
      <c r="U49" s="846"/>
    </row>
    <row r="50" spans="1:21" ht="13">
      <c r="A50" s="870"/>
      <c r="B50" s="870">
        <v>290</v>
      </c>
      <c r="C50" s="870">
        <f t="shared" si="4"/>
        <v>1.0499669697496894E-5</v>
      </c>
      <c r="D50" s="870">
        <f t="shared" si="2"/>
        <v>10.499669697496895</v>
      </c>
      <c r="E50" s="870">
        <f t="shared" si="0"/>
        <v>3.4468384594894763E-2</v>
      </c>
      <c r="F50" s="255">
        <f t="shared" si="3"/>
        <v>-14.625790698836909</v>
      </c>
      <c r="G50" s="251" t="s">
        <v>757</v>
      </c>
      <c r="H50" s="251"/>
      <c r="I50" s="254">
        <f>(S7*B50)/79.76</f>
        <v>0.34486929623559026</v>
      </c>
      <c r="J50" s="86"/>
      <c r="K50" s="87"/>
      <c r="L50" s="3"/>
      <c r="M50" s="3"/>
      <c r="N50" s="3"/>
      <c r="O50" s="3"/>
      <c r="P50" s="3"/>
      <c r="Q50" s="492"/>
      <c r="R50" s="840"/>
      <c r="S50" s="840"/>
      <c r="T50" s="840"/>
      <c r="U50" s="846"/>
    </row>
    <row r="51" spans="1:21" ht="13">
      <c r="A51" s="870"/>
      <c r="B51" s="870">
        <v>300</v>
      </c>
      <c r="C51" s="870">
        <f t="shared" si="4"/>
        <v>8.333333333333332E-6</v>
      </c>
      <c r="D51" s="870">
        <f t="shared" si="2"/>
        <v>8.3333333333333321</v>
      </c>
      <c r="E51" s="870">
        <f t="shared" si="0"/>
        <v>2.7356721360412548E-2</v>
      </c>
      <c r="F51" s="255">
        <f t="shared" si="3"/>
        <v>-15.629359530192763</v>
      </c>
      <c r="G51" s="251" t="s">
        <v>757</v>
      </c>
      <c r="H51" s="251"/>
      <c r="I51" s="254">
        <f>(S7*B51)/79.76</f>
        <v>0.35676134093336925</v>
      </c>
      <c r="J51" s="86"/>
      <c r="K51" s="87"/>
      <c r="L51" s="3"/>
      <c r="M51" s="3"/>
      <c r="N51" s="3"/>
      <c r="O51" s="3"/>
      <c r="P51" s="3"/>
      <c r="Q51" s="492"/>
      <c r="R51" s="840"/>
      <c r="S51" s="840"/>
      <c r="T51" s="840"/>
      <c r="U51" s="846"/>
    </row>
    <row r="52" spans="1:21" ht="13">
      <c r="A52" s="870"/>
      <c r="B52" s="870">
        <v>310</v>
      </c>
      <c r="C52" s="870">
        <f t="shared" si="4"/>
        <v>6.1063901023253407E-6</v>
      </c>
      <c r="D52" s="870">
        <f t="shared" si="2"/>
        <v>6.1063901023253404</v>
      </c>
      <c r="E52" s="870">
        <f t="shared" si="0"/>
        <v>2.0046097505675452E-2</v>
      </c>
      <c r="F52" s="255">
        <f t="shared" si="3"/>
        <v>-16.979701615331578</v>
      </c>
      <c r="G52" s="251" t="s">
        <v>757</v>
      </c>
      <c r="H52" s="251"/>
      <c r="I52" s="254">
        <f>(S7*B52)/79.76</f>
        <v>0.36865338563114819</v>
      </c>
      <c r="J52" s="86"/>
      <c r="K52" s="87"/>
      <c r="L52" s="3"/>
      <c r="M52" s="3"/>
      <c r="N52" s="3"/>
      <c r="O52" s="3"/>
      <c r="P52" s="3"/>
      <c r="Q52" s="492"/>
      <c r="R52" s="840"/>
      <c r="S52" s="840"/>
      <c r="T52" s="840"/>
      <c r="U52" s="846"/>
    </row>
    <row r="53" spans="1:21" ht="13">
      <c r="A53" s="870"/>
      <c r="B53" s="870">
        <v>320</v>
      </c>
      <c r="C53" s="870">
        <f t="shared" si="4"/>
        <v>4.0349210074856952E-6</v>
      </c>
      <c r="D53" s="870">
        <f t="shared" si="2"/>
        <v>4.0349210074856954</v>
      </c>
      <c r="E53" s="870">
        <f t="shared" si="0"/>
        <v>1.3245865165567351E-2</v>
      </c>
      <c r="F53" s="255">
        <f t="shared" si="3"/>
        <v>-18.779196701065931</v>
      </c>
      <c r="G53" s="251" t="s">
        <v>757</v>
      </c>
      <c r="H53" s="251"/>
      <c r="I53" s="254">
        <f>(S7*B53)/79.76</f>
        <v>0.38054543032892718</v>
      </c>
      <c r="J53" s="86"/>
      <c r="K53" s="87"/>
      <c r="L53" s="3"/>
      <c r="M53" s="3"/>
      <c r="N53" s="3"/>
      <c r="O53" s="3"/>
      <c r="P53" s="3"/>
      <c r="Q53" s="492"/>
      <c r="R53" s="840"/>
      <c r="S53" s="840"/>
      <c r="T53" s="840"/>
      <c r="U53" s="846"/>
    </row>
    <row r="54" spans="1:21" ht="13">
      <c r="A54" s="870"/>
      <c r="B54" s="870">
        <v>330</v>
      </c>
      <c r="C54" s="870">
        <f t="shared" si="4"/>
        <v>2.2956841138659359E-6</v>
      </c>
      <c r="D54" s="870">
        <f t="shared" si="2"/>
        <v>2.2956841138659358</v>
      </c>
      <c r="E54" s="870">
        <f t="shared" si="0"/>
        <v>7.5362868761467208E-3</v>
      </c>
      <c r="F54" s="255">
        <f t="shared" si="3"/>
        <v>-21.228425780553884</v>
      </c>
      <c r="G54" s="251" t="s">
        <v>757</v>
      </c>
      <c r="H54" s="251" t="s">
        <v>715</v>
      </c>
      <c r="I54" s="254">
        <f>(S7*B54)/79.76</f>
        <v>0.39243747502670617</v>
      </c>
      <c r="J54" s="86"/>
      <c r="K54" s="87"/>
      <c r="L54" s="3"/>
      <c r="M54" s="3"/>
      <c r="N54" s="3"/>
      <c r="O54" s="3"/>
      <c r="P54" s="3"/>
      <c r="Q54" s="492"/>
      <c r="R54" s="840"/>
      <c r="S54" s="840"/>
      <c r="T54" s="840"/>
      <c r="U54" s="846"/>
    </row>
    <row r="55" spans="1:21" ht="13">
      <c r="A55" s="870"/>
      <c r="B55" s="870">
        <v>340</v>
      </c>
      <c r="C55" s="870">
        <f t="shared" si="4"/>
        <v>1.0119184986203364E-6</v>
      </c>
      <c r="D55" s="870">
        <f t="shared" si="2"/>
        <v>1.0119184986203364</v>
      </c>
      <c r="E55" s="870">
        <f t="shared" si="0"/>
        <v>3.3219326887444266E-3</v>
      </c>
      <c r="F55" s="255">
        <f t="shared" si="3"/>
        <v>-24.786091717651274</v>
      </c>
      <c r="G55" s="251" t="s">
        <v>757</v>
      </c>
      <c r="H55" s="251"/>
      <c r="I55" s="254">
        <f>(S7*B55)/79.76</f>
        <v>0.40432951972448516</v>
      </c>
      <c r="J55" s="86"/>
      <c r="K55" s="87"/>
      <c r="L55" s="3"/>
      <c r="M55" s="3"/>
      <c r="N55" s="3"/>
      <c r="O55" s="3"/>
      <c r="P55" s="3"/>
      <c r="Q55" s="492"/>
      <c r="R55" s="840"/>
      <c r="S55" s="840"/>
      <c r="T55" s="840"/>
      <c r="U55" s="846"/>
    </row>
    <row r="56" spans="1:21" ht="13">
      <c r="A56" s="870"/>
      <c r="B56" s="870">
        <v>350</v>
      </c>
      <c r="C56" s="870">
        <f t="shared" si="4"/>
        <v>2.4615256822078222E-7</v>
      </c>
      <c r="D56" s="870">
        <f t="shared" si="2"/>
        <v>0.24615256822078221</v>
      </c>
      <c r="E56" s="870">
        <f t="shared" si="0"/>
        <v>8.0807126651590564E-4</v>
      </c>
      <c r="F56" s="255">
        <f t="shared" si="3"/>
        <v>-30.925503356490015</v>
      </c>
      <c r="G56" s="251" t="s">
        <v>757</v>
      </c>
      <c r="H56" s="251"/>
      <c r="I56" s="254">
        <f>(S7*B56)/79.76</f>
        <v>0.41622156442226416</v>
      </c>
      <c r="J56" s="86"/>
      <c r="K56" s="87"/>
      <c r="L56" s="3"/>
      <c r="M56" s="3"/>
      <c r="N56" s="3"/>
      <c r="O56" s="3"/>
      <c r="P56" s="3"/>
      <c r="Q56" s="492"/>
      <c r="R56" s="840"/>
      <c r="S56" s="841"/>
      <c r="T56" s="840"/>
      <c r="U56" s="846"/>
    </row>
    <row r="57" spans="1:21" ht="13">
      <c r="A57" s="870"/>
      <c r="B57" s="870">
        <v>360</v>
      </c>
      <c r="C57" s="870">
        <f t="shared" ref="C57:C88" si="5">((SIN(RADIANS(B57)))^2)/B57^2</f>
        <v>4.6326812856943794E-37</v>
      </c>
      <c r="D57" s="870">
        <f t="shared" si="2"/>
        <v>4.6326812856943792E-31</v>
      </c>
      <c r="E57" s="870">
        <f t="shared" si="0"/>
        <v>1.5208196530120668E-33</v>
      </c>
      <c r="F57" s="256">
        <f t="shared" si="3"/>
        <v>-328.17922283873054</v>
      </c>
      <c r="G57" s="251" t="s">
        <v>757</v>
      </c>
      <c r="H57" s="251"/>
      <c r="I57" s="257">
        <f>(S7*B57)/79.76</f>
        <v>0.42811360912004315</v>
      </c>
      <c r="J57" s="260" t="s">
        <v>46</v>
      </c>
      <c r="K57" s="87"/>
      <c r="L57" s="3"/>
      <c r="M57" s="3"/>
      <c r="N57" s="3"/>
      <c r="O57" s="3"/>
      <c r="P57" s="3"/>
      <c r="Q57" s="492"/>
      <c r="R57" s="840"/>
      <c r="S57" s="840"/>
      <c r="T57" s="840"/>
      <c r="U57" s="846"/>
    </row>
    <row r="58" spans="1:21" ht="13">
      <c r="A58" s="870"/>
      <c r="B58" s="870">
        <v>370</v>
      </c>
      <c r="C58" s="870">
        <f t="shared" si="5"/>
        <v>2.2026069837140728E-7</v>
      </c>
      <c r="D58" s="870">
        <f t="shared" si="2"/>
        <v>0.22026069837140727</v>
      </c>
      <c r="E58" s="870">
        <f t="shared" si="0"/>
        <v>7.230732662395756E-4</v>
      </c>
      <c r="F58" s="255">
        <f t="shared" si="3"/>
        <v>-31.408176950824426</v>
      </c>
      <c r="G58" s="251" t="s">
        <v>757</v>
      </c>
      <c r="H58" s="251"/>
      <c r="I58" s="254">
        <f>(S7*B58)/79.76</f>
        <v>0.44000565381782203</v>
      </c>
      <c r="J58" s="86"/>
      <c r="K58" s="87"/>
      <c r="L58" s="3"/>
      <c r="M58" s="3"/>
      <c r="N58" s="3"/>
      <c r="O58" s="3"/>
      <c r="P58" s="3"/>
      <c r="Q58" s="492"/>
      <c r="R58" s="840"/>
      <c r="S58" s="840"/>
      <c r="T58" s="840"/>
      <c r="U58" s="846"/>
    </row>
    <row r="59" spans="1:21" ht="13">
      <c r="A59" s="870"/>
      <c r="B59" s="870">
        <v>380</v>
      </c>
      <c r="C59" s="870">
        <f t="shared" si="5"/>
        <v>8.1009541856309637E-7</v>
      </c>
      <c r="D59" s="870">
        <f t="shared" si="2"/>
        <v>0.81009541856309641</v>
      </c>
      <c r="E59" s="870">
        <f t="shared" si="0"/>
        <v>2.6593865569172885E-3</v>
      </c>
      <c r="F59" s="255">
        <f t="shared" si="3"/>
        <v>-25.752185309142369</v>
      </c>
      <c r="G59" s="251" t="s">
        <v>757</v>
      </c>
      <c r="H59" s="251"/>
      <c r="I59" s="254">
        <f>(S7*B59)/79.76</f>
        <v>0.45189769851560102</v>
      </c>
      <c r="J59" s="86"/>
      <c r="K59" s="87"/>
      <c r="L59" s="3"/>
      <c r="M59" s="3"/>
      <c r="N59" s="3"/>
      <c r="O59" s="3"/>
      <c r="P59" s="3"/>
      <c r="Q59" s="492"/>
      <c r="R59" s="840"/>
      <c r="S59" s="840"/>
      <c r="T59" s="840"/>
      <c r="U59" s="846"/>
    </row>
    <row r="60" spans="1:21" ht="13">
      <c r="A60" s="870"/>
      <c r="B60" s="870">
        <v>390</v>
      </c>
      <c r="C60" s="870">
        <f t="shared" si="5"/>
        <v>1.643655489809336E-6</v>
      </c>
      <c r="D60" s="870">
        <f t="shared" si="2"/>
        <v>1.6436554898093361</v>
      </c>
      <c r="E60" s="870">
        <f t="shared" si="0"/>
        <v>5.39580302966717E-3</v>
      </c>
      <c r="F60" s="255">
        <f t="shared" si="3"/>
        <v>-22.679439123526123</v>
      </c>
      <c r="G60" s="251" t="s">
        <v>757</v>
      </c>
      <c r="H60" s="251"/>
      <c r="I60" s="254">
        <f>(S7*B60)/79.76</f>
        <v>0.46378974321338007</v>
      </c>
      <c r="J60" s="86"/>
      <c r="K60" s="87"/>
      <c r="L60" s="3"/>
      <c r="M60" s="3"/>
      <c r="N60" s="3"/>
      <c r="O60" s="3"/>
      <c r="P60" s="3"/>
      <c r="Q60" s="492"/>
      <c r="R60" s="840"/>
      <c r="S60" s="840"/>
      <c r="T60" s="840"/>
      <c r="U60" s="846"/>
    </row>
    <row r="61" spans="1:21" ht="13">
      <c r="A61" s="870"/>
      <c r="B61" s="870">
        <v>400</v>
      </c>
      <c r="C61" s="870">
        <f t="shared" si="5"/>
        <v>2.5823494447908412E-6</v>
      </c>
      <c r="D61" s="870">
        <f t="shared" si="2"/>
        <v>2.5823494447908413</v>
      </c>
      <c r="E61" s="870">
        <f t="shared" si="0"/>
        <v>8.4773537059630918E-3</v>
      </c>
      <c r="F61" s="255">
        <f t="shared" si="3"/>
        <v>-20.717396961227067</v>
      </c>
      <c r="G61" s="251" t="s">
        <v>757</v>
      </c>
      <c r="H61" s="251"/>
      <c r="I61" s="254">
        <f>(S7*B61)/79.76</f>
        <v>0.47568178791115906</v>
      </c>
      <c r="J61" s="86"/>
      <c r="K61" s="87"/>
      <c r="L61" s="3"/>
      <c r="M61" s="3"/>
      <c r="N61" s="3"/>
      <c r="O61" s="3"/>
      <c r="P61" s="3"/>
      <c r="Q61" s="492"/>
      <c r="R61" s="840"/>
      <c r="S61" s="840"/>
      <c r="T61" s="840"/>
      <c r="U61" s="846"/>
    </row>
    <row r="62" spans="1:21" ht="13">
      <c r="A62" s="870"/>
      <c r="B62" s="870">
        <v>410</v>
      </c>
      <c r="C62" s="870">
        <f t="shared" si="5"/>
        <v>3.4909225986523783E-6</v>
      </c>
      <c r="D62" s="870">
        <f t="shared" si="2"/>
        <v>3.4909225986523782</v>
      </c>
      <c r="E62" s="870">
        <f t="shared" si="0"/>
        <v>1.1460023618652048E-2</v>
      </c>
      <c r="F62" s="255">
        <f t="shared" si="3"/>
        <v>-19.40814487304084</v>
      </c>
      <c r="G62" s="251" t="s">
        <v>757</v>
      </c>
      <c r="H62" s="251"/>
      <c r="I62" s="254">
        <f>(S7*B62)/79.76</f>
        <v>0.48757383260893794</v>
      </c>
      <c r="J62" s="86"/>
      <c r="K62" s="87"/>
      <c r="L62" s="3"/>
      <c r="M62" s="3"/>
      <c r="N62" s="3"/>
      <c r="O62" s="3"/>
      <c r="P62" s="3"/>
      <c r="Q62" s="492"/>
      <c r="R62" s="840"/>
      <c r="S62" s="840"/>
      <c r="T62" s="840"/>
      <c r="U62" s="846"/>
    </row>
    <row r="63" spans="1:21" ht="13">
      <c r="A63" s="870"/>
      <c r="B63" s="870">
        <v>420</v>
      </c>
      <c r="C63" s="870">
        <f t="shared" si="5"/>
        <v>4.2517006802721104E-6</v>
      </c>
      <c r="D63" s="870">
        <f t="shared" si="2"/>
        <v>4.2517006802721102</v>
      </c>
      <c r="E63" s="870">
        <f t="shared" si="0"/>
        <v>1.3957510898169673E-2</v>
      </c>
      <c r="F63" s="255">
        <f t="shared" si="3"/>
        <v>-18.551920243757522</v>
      </c>
      <c r="G63" s="251" t="s">
        <v>757</v>
      </c>
      <c r="H63" s="251"/>
      <c r="I63" s="254">
        <f>(S7*B63)/79.76</f>
        <v>0.49946587730671693</v>
      </c>
      <c r="J63" s="86"/>
      <c r="K63" s="87"/>
      <c r="L63" s="3"/>
      <c r="M63" s="3"/>
      <c r="N63" s="3"/>
      <c r="O63" s="3"/>
      <c r="P63" s="3"/>
      <c r="Q63" s="492"/>
      <c r="R63" s="840"/>
      <c r="S63" s="840"/>
      <c r="T63" s="840"/>
      <c r="U63" s="846"/>
    </row>
    <row r="64" spans="1:21" ht="13">
      <c r="A64" s="870"/>
      <c r="B64" s="870">
        <v>430</v>
      </c>
      <c r="C64" s="870">
        <f t="shared" si="5"/>
        <v>4.7756745352054575E-6</v>
      </c>
      <c r="D64" s="870">
        <f t="shared" si="2"/>
        <v>4.7756745352054573</v>
      </c>
      <c r="E64" s="870">
        <f t="shared" si="0"/>
        <v>1.5677615708116009E-2</v>
      </c>
      <c r="F64" s="255">
        <f t="shared" si="3"/>
        <v>-18.047199852449516</v>
      </c>
      <c r="G64" s="251" t="s">
        <v>757</v>
      </c>
      <c r="H64" s="251"/>
      <c r="I64" s="254">
        <f>(S7*B64)/79.76</f>
        <v>0.51135792200449592</v>
      </c>
      <c r="J64" s="86"/>
      <c r="K64" s="87"/>
      <c r="L64" s="3"/>
      <c r="M64" s="3"/>
      <c r="N64" s="3"/>
      <c r="O64" s="3"/>
      <c r="P64" s="3"/>
      <c r="Q64" s="492"/>
      <c r="R64" s="840"/>
      <c r="S64" s="841"/>
      <c r="T64" s="840"/>
      <c r="U64" s="846"/>
    </row>
    <row r="65" spans="1:21" ht="13">
      <c r="A65" s="870"/>
      <c r="B65" s="870">
        <v>440</v>
      </c>
      <c r="C65" s="870">
        <f t="shared" si="5"/>
        <v>5.0095367272363332E-6</v>
      </c>
      <c r="D65" s="870">
        <f t="shared" si="2"/>
        <v>5.0095367272363331</v>
      </c>
      <c r="E65" s="870">
        <f t="shared" si="0"/>
        <v>1.6445340047010884E-2</v>
      </c>
      <c r="F65" s="258">
        <f t="shared" si="3"/>
        <v>-17.839571420041555</v>
      </c>
      <c r="G65" s="251" t="s">
        <v>757</v>
      </c>
      <c r="H65" s="251"/>
      <c r="I65" s="259">
        <f>(S7*B65)/79.76</f>
        <v>0.52324996670227497</v>
      </c>
      <c r="J65" s="260" t="s">
        <v>47</v>
      </c>
      <c r="K65" s="261"/>
      <c r="L65" s="3"/>
      <c r="M65" s="3"/>
      <c r="N65" s="3"/>
      <c r="O65" s="3"/>
      <c r="P65" s="3"/>
      <c r="Q65" s="492"/>
      <c r="R65" s="840"/>
      <c r="S65" s="840"/>
      <c r="T65" s="840"/>
      <c r="U65" s="846"/>
    </row>
    <row r="66" spans="1:21" ht="13">
      <c r="A66" s="870"/>
      <c r="B66" s="870">
        <v>450</v>
      </c>
      <c r="C66" s="870">
        <f t="shared" si="5"/>
        <v>4.9382716049382717E-6</v>
      </c>
      <c r="D66" s="870">
        <f t="shared" si="2"/>
        <v>4.9382716049382713</v>
      </c>
      <c r="E66" s="870">
        <f t="shared" si="0"/>
        <v>1.6211390435800031E-2</v>
      </c>
      <c r="F66" s="255">
        <f t="shared" si="3"/>
        <v>-17.90179734522339</v>
      </c>
      <c r="G66" s="251" t="s">
        <v>757</v>
      </c>
      <c r="H66" s="251"/>
      <c r="I66" s="254">
        <f>(S7*B66)/79.76</f>
        <v>0.5351420114000538</v>
      </c>
      <c r="J66" s="86"/>
      <c r="K66" s="87"/>
      <c r="L66" s="3"/>
      <c r="M66" s="3"/>
      <c r="N66" s="3"/>
      <c r="O66" s="3"/>
      <c r="P66" s="3"/>
      <c r="Q66" s="492"/>
      <c r="R66" s="840"/>
      <c r="S66" s="840"/>
      <c r="T66" s="840"/>
      <c r="U66" s="846"/>
    </row>
    <row r="67" spans="1:21" ht="13">
      <c r="A67" s="870"/>
      <c r="B67" s="870">
        <v>460</v>
      </c>
      <c r="C67" s="870">
        <f t="shared" si="5"/>
        <v>4.5833946615924115E-6</v>
      </c>
      <c r="D67" s="870">
        <f t="shared" si="2"/>
        <v>4.5833946615924113</v>
      </c>
      <c r="E67" s="870">
        <f t="shared" si="0"/>
        <v>1.5046398077038316E-2</v>
      </c>
      <c r="F67" s="255">
        <f t="shared" si="3"/>
        <v>-18.225674523949287</v>
      </c>
      <c r="G67" s="251" t="s">
        <v>757</v>
      </c>
      <c r="H67" s="251"/>
      <c r="I67" s="254">
        <f>(S7*B67)/79.76</f>
        <v>0.54703405609783284</v>
      </c>
      <c r="J67" s="86"/>
      <c r="K67" s="87"/>
      <c r="L67" s="3"/>
      <c r="M67" s="3"/>
      <c r="N67" s="3"/>
      <c r="O67" s="3"/>
      <c r="P67" s="3"/>
      <c r="Q67" s="492"/>
      <c r="R67" s="840"/>
      <c r="S67" s="840"/>
      <c r="T67" s="840"/>
      <c r="U67" s="846"/>
    </row>
    <row r="68" spans="1:21" ht="13">
      <c r="A68" s="870"/>
      <c r="B68" s="870">
        <v>470</v>
      </c>
      <c r="C68" s="870">
        <f t="shared" si="5"/>
        <v>3.9973844344023967E-6</v>
      </c>
      <c r="D68" s="870">
        <f t="shared" si="2"/>
        <v>3.9973844344023965</v>
      </c>
      <c r="E68" s="870">
        <f t="shared" si="0"/>
        <v>1.3122639857087602E-2</v>
      </c>
      <c r="F68" s="255">
        <f t="shared" si="3"/>
        <v>-18.819787899572134</v>
      </c>
      <c r="G68" s="251" t="s">
        <v>757</v>
      </c>
      <c r="H68" s="251"/>
      <c r="I68" s="254">
        <f>(S7*B68)/79.76</f>
        <v>0.55892610079561178</v>
      </c>
      <c r="J68" s="86"/>
      <c r="K68" s="87"/>
      <c r="L68" s="3"/>
      <c r="M68" s="3"/>
      <c r="N68" s="3"/>
      <c r="O68" s="3"/>
      <c r="P68" s="3"/>
      <c r="Q68" s="492"/>
      <c r="R68" s="840"/>
      <c r="S68" s="840"/>
      <c r="T68" s="840"/>
      <c r="U68" s="846"/>
    </row>
    <row r="69" spans="1:21" ht="13">
      <c r="A69" s="870"/>
      <c r="B69" s="870">
        <v>480</v>
      </c>
      <c r="C69" s="870">
        <f t="shared" si="5"/>
        <v>3.2552083333333374E-6</v>
      </c>
      <c r="D69" s="870">
        <f t="shared" si="2"/>
        <v>3.2552083333333375</v>
      </c>
      <c r="E69" s="870">
        <f t="shared" si="0"/>
        <v>1.0686219281411165E-2</v>
      </c>
      <c r="F69" s="255">
        <f t="shared" si="3"/>
        <v>-19.711759183311251</v>
      </c>
      <c r="G69" s="251" t="s">
        <v>757</v>
      </c>
      <c r="H69" s="251"/>
      <c r="I69" s="254">
        <f>(S7*B69)/79.76</f>
        <v>0.57081814549339083</v>
      </c>
      <c r="J69" s="86"/>
      <c r="K69" s="87"/>
      <c r="L69" s="3"/>
      <c r="M69" s="3"/>
      <c r="N69" s="3"/>
      <c r="O69" s="3"/>
      <c r="P69" s="3"/>
      <c r="Q69" s="492"/>
      <c r="R69" s="840"/>
      <c r="S69" s="840"/>
      <c r="T69" s="840"/>
      <c r="U69" s="846"/>
    </row>
    <row r="70" spans="1:21" ht="13">
      <c r="A70" s="870"/>
      <c r="B70" s="870">
        <v>490</v>
      </c>
      <c r="C70" s="870">
        <f t="shared" si="5"/>
        <v>2.4440820026383361E-6</v>
      </c>
      <c r="D70" s="870">
        <f t="shared" si="2"/>
        <v>2.4440820026383361</v>
      </c>
      <c r="E70" s="870">
        <f t="shared" si="0"/>
        <v>8.023448439381126E-3</v>
      </c>
      <c r="F70" s="255">
        <f t="shared" si="3"/>
        <v>-20.956389339216408</v>
      </c>
      <c r="G70" s="251" t="s">
        <v>757</v>
      </c>
      <c r="H70" s="251"/>
      <c r="I70" s="254">
        <f>(S7*B70)/79.76</f>
        <v>0.58271019019116987</v>
      </c>
      <c r="J70" s="86"/>
      <c r="K70" s="87"/>
      <c r="L70" s="3"/>
      <c r="M70" s="3"/>
      <c r="N70" s="3"/>
      <c r="O70" s="3"/>
      <c r="P70" s="3"/>
      <c r="Q70" s="492"/>
      <c r="R70" s="840"/>
      <c r="S70" s="840"/>
      <c r="T70" s="840"/>
      <c r="U70" s="846"/>
    </row>
    <row r="71" spans="1:21" ht="13">
      <c r="A71" s="870"/>
      <c r="B71" s="870">
        <v>500</v>
      </c>
      <c r="C71" s="870">
        <f t="shared" si="5"/>
        <v>1.6527036446661378E-6</v>
      </c>
      <c r="D71" s="870">
        <f t="shared" si="2"/>
        <v>1.6527036446661378</v>
      </c>
      <c r="E71" s="870">
        <f t="shared" si="0"/>
        <v>5.4255063718163764E-3</v>
      </c>
      <c r="F71" s="255">
        <f t="shared" si="3"/>
        <v>-22.655597221388199</v>
      </c>
      <c r="G71" s="251" t="s">
        <v>757</v>
      </c>
      <c r="H71" s="251"/>
      <c r="I71" s="254">
        <f>(S7*B71)/79.76</f>
        <v>0.5946022348889487</v>
      </c>
      <c r="J71" s="86"/>
      <c r="K71" s="87"/>
      <c r="L71" s="3"/>
      <c r="M71" s="3"/>
      <c r="N71" s="3"/>
      <c r="O71" s="3"/>
      <c r="P71" s="3"/>
      <c r="Q71" s="492"/>
      <c r="R71" s="840"/>
      <c r="S71" s="840"/>
      <c r="T71" s="840"/>
      <c r="U71" s="846"/>
    </row>
    <row r="72" spans="1:21" ht="13">
      <c r="A72" s="870"/>
      <c r="B72" s="870">
        <v>510</v>
      </c>
      <c r="C72" s="870">
        <f t="shared" si="5"/>
        <v>9.6116878123798444E-7</v>
      </c>
      <c r="D72" s="870">
        <f t="shared" si="2"/>
        <v>0.96116878123798444</v>
      </c>
      <c r="E72" s="870">
        <f t="shared" si="0"/>
        <v>3.1553311834385841E-3</v>
      </c>
      <c r="F72" s="255">
        <f t="shared" si="3"/>
        <v>-25.009550504954873</v>
      </c>
      <c r="G72" s="251" t="s">
        <v>757</v>
      </c>
      <c r="H72" s="251"/>
      <c r="I72" s="254">
        <f>(S7*B72)/79.76</f>
        <v>0.60649427958672775</v>
      </c>
      <c r="J72" s="86"/>
      <c r="K72" s="87"/>
      <c r="L72" s="3"/>
      <c r="M72" s="3"/>
      <c r="N72" s="3"/>
      <c r="O72" s="3"/>
      <c r="P72" s="3"/>
      <c r="Q72" s="492"/>
      <c r="R72" s="840"/>
      <c r="S72" s="840"/>
      <c r="T72" s="840"/>
      <c r="U72" s="846"/>
    </row>
    <row r="73" spans="1:21" ht="13">
      <c r="A73" s="870"/>
      <c r="B73" s="870">
        <v>520</v>
      </c>
      <c r="C73" s="870">
        <f t="shared" si="5"/>
        <v>4.3261012736875356E-7</v>
      </c>
      <c r="D73" s="870">
        <f t="shared" si="2"/>
        <v>0.43261012736875354</v>
      </c>
      <c r="E73" s="870">
        <f t="shared" si="0"/>
        <v>1.4201753654543489E-3</v>
      </c>
      <c r="F73" s="255">
        <f t="shared" si="3"/>
        <v>-28.476580249502152</v>
      </c>
      <c r="G73" s="251" t="s">
        <v>757</v>
      </c>
      <c r="H73" s="251"/>
      <c r="I73" s="254">
        <f>(S7*B73)/79.76</f>
        <v>0.61838632428450668</v>
      </c>
      <c r="J73" s="86"/>
      <c r="K73" s="87"/>
      <c r="L73" s="3"/>
      <c r="M73" s="3"/>
      <c r="N73" s="3"/>
      <c r="O73" s="3"/>
      <c r="P73" s="3"/>
      <c r="Q73" s="492"/>
      <c r="R73" s="840"/>
      <c r="S73" s="840"/>
      <c r="T73" s="840"/>
      <c r="U73" s="846"/>
    </row>
    <row r="74" spans="1:21" ht="13">
      <c r="A74" s="870"/>
      <c r="B74" s="870">
        <v>530</v>
      </c>
      <c r="C74" s="870">
        <f t="shared" si="5"/>
        <v>1.0734670561426081E-7</v>
      </c>
      <c r="D74" s="870">
        <f t="shared" si="2"/>
        <v>0.10734670561426081</v>
      </c>
      <c r="E74" s="870">
        <f t="shared" si="0"/>
        <v>3.5239846973370801E-4</v>
      </c>
      <c r="F74" s="255">
        <f t="shared" si="3"/>
        <v>-34.529659861500278</v>
      </c>
      <c r="G74" s="251" t="s">
        <v>757</v>
      </c>
      <c r="H74" s="251"/>
      <c r="I74" s="254">
        <f>(S7*B74)/79.76</f>
        <v>0.63027836898228573</v>
      </c>
      <c r="J74" s="86"/>
      <c r="K74" s="87"/>
      <c r="L74" s="3"/>
      <c r="M74" s="3"/>
      <c r="N74" s="3"/>
      <c r="O74" s="3"/>
      <c r="P74" s="3"/>
      <c r="Q74" s="492"/>
      <c r="R74" s="840"/>
      <c r="S74" s="841"/>
      <c r="T74" s="840"/>
      <c r="U74" s="846"/>
    </row>
    <row r="75" spans="1:21" ht="13">
      <c r="A75" s="870"/>
      <c r="B75" s="870">
        <v>540</v>
      </c>
      <c r="C75" s="870">
        <f t="shared" si="5"/>
        <v>4.6326812856943794E-37</v>
      </c>
      <c r="D75" s="870">
        <f t="shared" si="2"/>
        <v>4.6326812856943792E-31</v>
      </c>
      <c r="E75" s="870">
        <f t="shared" si="0"/>
        <v>1.5208196530120668E-33</v>
      </c>
      <c r="F75" s="256">
        <f t="shared" si="3"/>
        <v>-328.17922283873054</v>
      </c>
      <c r="G75" s="251" t="s">
        <v>757</v>
      </c>
      <c r="H75" s="251"/>
      <c r="I75" s="257">
        <f>(S7*B75)/79.76</f>
        <v>0.64217041368006467</v>
      </c>
      <c r="J75" s="260" t="s">
        <v>48</v>
      </c>
      <c r="K75" s="87"/>
      <c r="L75" s="3"/>
      <c r="M75" s="3"/>
      <c r="N75" s="3"/>
      <c r="O75" s="3"/>
      <c r="P75" s="3"/>
      <c r="Q75" s="492"/>
      <c r="R75" s="840"/>
      <c r="S75" s="840"/>
      <c r="T75" s="840"/>
      <c r="U75" s="846"/>
    </row>
    <row r="76" spans="1:21" ht="13">
      <c r="A76" s="870"/>
      <c r="B76" s="870">
        <v>550</v>
      </c>
      <c r="C76" s="870">
        <f t="shared" si="5"/>
        <v>9.9681618535687958E-8</v>
      </c>
      <c r="D76" s="870">
        <f t="shared" si="2"/>
        <v>9.9681618535687952E-2</v>
      </c>
      <c r="E76" s="870">
        <f t="shared" si="0"/>
        <v>3.2723547156429005E-4</v>
      </c>
      <c r="F76" s="255">
        <f t="shared" si="3"/>
        <v>-34.851396259369409</v>
      </c>
      <c r="G76" s="251" t="s">
        <v>757</v>
      </c>
      <c r="H76" s="251"/>
      <c r="I76" s="254">
        <f>(S7*B76)/79.76</f>
        <v>0.6540624583778436</v>
      </c>
      <c r="J76" s="86"/>
      <c r="K76" s="87"/>
      <c r="L76" s="3"/>
      <c r="M76" s="3"/>
      <c r="N76" s="3"/>
      <c r="O76" s="3"/>
      <c r="P76" s="3"/>
      <c r="Q76" s="492"/>
      <c r="R76" s="840"/>
      <c r="S76" s="840"/>
      <c r="T76" s="840"/>
      <c r="U76" s="846"/>
    </row>
    <row r="77" spans="1:21" ht="13">
      <c r="A77" s="870"/>
      <c r="B77" s="870">
        <v>560</v>
      </c>
      <c r="C77" s="870">
        <f t="shared" si="5"/>
        <v>3.7301587512917883E-7</v>
      </c>
      <c r="D77" s="870">
        <f t="shared" si="2"/>
        <v>0.37301587512917883</v>
      </c>
      <c r="E77" s="870">
        <f t="shared" si="0"/>
        <v>1.2245389630703265E-3</v>
      </c>
      <c r="F77" s="255">
        <f t="shared" si="3"/>
        <v>-29.120273916930199</v>
      </c>
      <c r="G77" s="251" t="s">
        <v>757</v>
      </c>
      <c r="H77" s="251"/>
      <c r="I77" s="254">
        <f>(S7*B77)/79.76</f>
        <v>0.66595450307562265</v>
      </c>
      <c r="J77" s="86"/>
      <c r="K77" s="87"/>
      <c r="L77" s="3"/>
      <c r="M77" s="3"/>
      <c r="N77" s="3"/>
      <c r="O77" s="3"/>
      <c r="P77" s="3"/>
      <c r="Q77" s="492"/>
      <c r="R77" s="840"/>
      <c r="S77" s="840"/>
      <c r="T77" s="840"/>
      <c r="U77" s="846"/>
    </row>
    <row r="78" spans="1:21" ht="13">
      <c r="A78" s="870"/>
      <c r="B78" s="870">
        <v>570</v>
      </c>
      <c r="C78" s="870">
        <f t="shared" si="5"/>
        <v>7.6946752847029604E-7</v>
      </c>
      <c r="D78" s="870">
        <f t="shared" si="2"/>
        <v>0.76946752847029609</v>
      </c>
      <c r="E78" s="870">
        <f t="shared" si="0"/>
        <v>2.5260130526696643E-3</v>
      </c>
      <c r="F78" s="255">
        <f t="shared" si="3"/>
        <v>-25.975644096445979</v>
      </c>
      <c r="G78" s="251" t="s">
        <v>757</v>
      </c>
      <c r="H78" s="251"/>
      <c r="I78" s="254">
        <f>(S7*B78)/79.76</f>
        <v>0.67784654777340159</v>
      </c>
      <c r="J78" s="86"/>
      <c r="K78" s="87"/>
      <c r="L78" s="3"/>
      <c r="M78" s="3"/>
      <c r="N78" s="3"/>
      <c r="O78" s="3"/>
      <c r="P78" s="3"/>
      <c r="Q78" s="492"/>
      <c r="R78" s="840"/>
      <c r="S78" s="840"/>
      <c r="T78" s="840"/>
      <c r="U78" s="846"/>
    </row>
    <row r="79" spans="1:21" ht="13">
      <c r="A79" s="870"/>
      <c r="B79" s="870">
        <v>580</v>
      </c>
      <c r="C79" s="870">
        <f t="shared" si="5"/>
        <v>1.2282280355723409E-6</v>
      </c>
      <c r="D79" s="870">
        <f t="shared" si="2"/>
        <v>1.2282280355723409</v>
      </c>
      <c r="E79" s="870">
        <f t="shared" si="0"/>
        <v>4.0320350563439284E-3</v>
      </c>
      <c r="F79" s="255">
        <f t="shared" si="3"/>
        <v>-23.944757005926558</v>
      </c>
      <c r="G79" s="251" t="s">
        <v>757</v>
      </c>
      <c r="H79" s="251"/>
      <c r="I79" s="254">
        <f>(S7*B79)/79.76</f>
        <v>0.68973859247118052</v>
      </c>
      <c r="J79" s="86"/>
      <c r="K79" s="87"/>
      <c r="L79" s="3"/>
      <c r="M79" s="3"/>
      <c r="N79" s="3"/>
      <c r="O79" s="3"/>
      <c r="P79" s="3"/>
      <c r="Q79" s="492"/>
      <c r="R79" s="840"/>
      <c r="S79" s="840"/>
      <c r="T79" s="840"/>
      <c r="U79" s="846"/>
    </row>
    <row r="80" spans="1:21" ht="13">
      <c r="A80" s="870"/>
      <c r="B80" s="870">
        <v>590</v>
      </c>
      <c r="C80" s="870">
        <f t="shared" si="5"/>
        <v>1.6857916944368443E-6</v>
      </c>
      <c r="D80" s="870">
        <f t="shared" si="2"/>
        <v>1.6857916944368443</v>
      </c>
      <c r="E80" s="870">
        <f t="shared" si="0"/>
        <v>5.5341280387687783E-3</v>
      </c>
      <c r="F80" s="255">
        <f t="shared" si="3"/>
        <v>-22.56950797148901</v>
      </c>
      <c r="G80" s="251" t="s">
        <v>757</v>
      </c>
      <c r="H80" s="251"/>
      <c r="I80" s="254">
        <f>(S7*B80)/79.76</f>
        <v>0.70163063716895946</v>
      </c>
      <c r="J80" s="86"/>
      <c r="K80" s="87"/>
      <c r="L80" s="3"/>
      <c r="M80" s="3"/>
      <c r="N80" s="3"/>
      <c r="O80" s="3"/>
      <c r="P80" s="3"/>
      <c r="Q80" s="492"/>
      <c r="R80" s="840"/>
      <c r="S80" s="840"/>
      <c r="T80" s="840"/>
      <c r="U80" s="846"/>
    </row>
    <row r="81" spans="1:21" ht="13">
      <c r="A81" s="870"/>
      <c r="B81" s="870">
        <v>600</v>
      </c>
      <c r="C81" s="870">
        <f t="shared" si="5"/>
        <v>2.0833333333333334E-6</v>
      </c>
      <c r="D81" s="870">
        <f t="shared" si="2"/>
        <v>2.0833333333333335</v>
      </c>
      <c r="E81" s="870">
        <f t="shared" si="0"/>
        <v>6.8391803401031378E-3</v>
      </c>
      <c r="F81" s="255">
        <f t="shared" si="3"/>
        <v>-21.64995944347239</v>
      </c>
      <c r="G81" s="251" t="s">
        <v>757</v>
      </c>
      <c r="H81" s="251"/>
      <c r="I81" s="254">
        <f>(S7*B81)/79.76</f>
        <v>0.71352268186673851</v>
      </c>
      <c r="J81" s="86"/>
      <c r="K81" s="87"/>
      <c r="L81" s="3"/>
      <c r="M81" s="3"/>
      <c r="N81" s="3"/>
      <c r="O81" s="3"/>
      <c r="P81" s="3"/>
      <c r="Q81" s="492"/>
      <c r="R81" s="840"/>
      <c r="S81" s="840"/>
      <c r="T81" s="840"/>
      <c r="U81" s="846"/>
    </row>
    <row r="82" spans="1:21" ht="13">
      <c r="A82" s="870"/>
      <c r="B82" s="870">
        <v>610</v>
      </c>
      <c r="C82" s="870">
        <f t="shared" si="5"/>
        <v>2.3730777252337787E-6</v>
      </c>
      <c r="D82" s="870">
        <f t="shared" si="2"/>
        <v>2.3730777252337787</v>
      </c>
      <c r="E82" s="870">
        <f t="shared" ref="E82:E104" si="6">D82/304.6174</f>
        <v>7.7903551314986563E-3</v>
      </c>
      <c r="F82" s="255">
        <f t="shared" si="3"/>
        <v>-21.084427441073128</v>
      </c>
      <c r="G82" s="251" t="s">
        <v>757</v>
      </c>
      <c r="H82" s="251"/>
      <c r="I82" s="254">
        <f>(S7*B82)/79.76</f>
        <v>0.72541472656451755</v>
      </c>
      <c r="J82" s="86"/>
      <c r="K82" s="87"/>
      <c r="L82" s="3"/>
      <c r="M82" s="3"/>
      <c r="N82" s="3"/>
      <c r="O82" s="3"/>
      <c r="P82" s="3"/>
      <c r="Q82" s="492"/>
      <c r="R82" s="840"/>
      <c r="S82" s="841"/>
      <c r="T82" s="840"/>
      <c r="U82" s="846"/>
    </row>
    <row r="83" spans="1:21" ht="13">
      <c r="A83" s="870"/>
      <c r="B83" s="870">
        <v>620</v>
      </c>
      <c r="C83" s="870">
        <f t="shared" si="5"/>
        <v>2.5230132944665821E-6</v>
      </c>
      <c r="D83" s="870">
        <f t="shared" si="2"/>
        <v>2.523013294466582</v>
      </c>
      <c r="E83" s="870">
        <f t="shared" si="6"/>
        <v>8.2825646022406541E-3</v>
      </c>
      <c r="F83" s="258">
        <f t="shared" si="3"/>
        <v>-20.818351680282881</v>
      </c>
      <c r="G83" s="251" t="s">
        <v>757</v>
      </c>
      <c r="H83" s="251"/>
      <c r="I83" s="259">
        <f>(S7*B83)/79.76</f>
        <v>0.73730677126229638</v>
      </c>
      <c r="J83" s="260" t="s">
        <v>49</v>
      </c>
      <c r="K83" s="261"/>
      <c r="L83" s="3"/>
      <c r="M83" s="3"/>
      <c r="N83" s="3"/>
      <c r="O83" s="3"/>
      <c r="P83" s="3"/>
      <c r="Q83" s="492"/>
      <c r="R83" s="840"/>
      <c r="S83" s="840"/>
      <c r="T83" s="840"/>
      <c r="U83" s="846"/>
    </row>
    <row r="84" spans="1:21" ht="13">
      <c r="A84" s="870"/>
      <c r="B84" s="870">
        <v>630</v>
      </c>
      <c r="C84" s="870">
        <f t="shared" si="5"/>
        <v>2.5195263290501387E-6</v>
      </c>
      <c r="D84" s="870">
        <f t="shared" ref="D84:D104" si="7">C84*1000000</f>
        <v>2.5195263290501386</v>
      </c>
      <c r="E84" s="870">
        <f t="shared" si="6"/>
        <v>8.2711175692857294E-3</v>
      </c>
      <c r="F84" s="255">
        <f t="shared" si="3"/>
        <v>-20.82435805878815</v>
      </c>
      <c r="G84" s="251" t="s">
        <v>757</v>
      </c>
      <c r="H84" s="251"/>
      <c r="I84" s="254">
        <f>(S7*B84)/79.76</f>
        <v>0.74919881596007543</v>
      </c>
      <c r="J84" s="86"/>
      <c r="K84" s="87"/>
      <c r="L84" s="3"/>
      <c r="M84" s="3"/>
      <c r="N84" s="3"/>
      <c r="O84" s="3"/>
      <c r="P84" s="3"/>
      <c r="Q84" s="492"/>
      <c r="R84" s="840"/>
      <c r="S84" s="840"/>
      <c r="T84" s="840"/>
      <c r="U84" s="846"/>
    </row>
    <row r="85" spans="1:21" ht="13">
      <c r="A85" s="870"/>
      <c r="B85" s="870">
        <v>640</v>
      </c>
      <c r="C85" s="870">
        <f t="shared" si="5"/>
        <v>2.3677888437327986E-6</v>
      </c>
      <c r="D85" s="870">
        <f t="shared" si="7"/>
        <v>2.3677888437327987</v>
      </c>
      <c r="E85" s="870">
        <f t="shared" si="6"/>
        <v>7.7729927565949909E-3</v>
      </c>
      <c r="F85" s="255">
        <f t="shared" ref="F85:F104" si="8">10*LOG10(E85)</f>
        <v>-21.094117369995548</v>
      </c>
      <c r="G85" s="251" t="s">
        <v>757</v>
      </c>
      <c r="H85" s="251"/>
      <c r="I85" s="254">
        <f>(S7*B85)/79.76</f>
        <v>0.76109086065785436</v>
      </c>
      <c r="J85" s="86"/>
      <c r="K85" s="87"/>
      <c r="L85" s="3"/>
      <c r="M85" s="3"/>
      <c r="N85" s="3"/>
      <c r="O85" s="3"/>
      <c r="P85" s="3"/>
      <c r="Q85" s="492"/>
      <c r="R85" s="840"/>
      <c r="S85" s="840"/>
      <c r="T85" s="840"/>
      <c r="U85" s="846"/>
    </row>
    <row r="86" spans="1:21" ht="13">
      <c r="A86" s="870"/>
      <c r="B86" s="870">
        <v>650</v>
      </c>
      <c r="C86" s="870">
        <f t="shared" si="5"/>
        <v>2.0899934238094428E-6</v>
      </c>
      <c r="D86" s="870">
        <f t="shared" si="7"/>
        <v>2.0899934238094429</v>
      </c>
      <c r="E86" s="870">
        <f t="shared" si="6"/>
        <v>6.8610441288299451E-3</v>
      </c>
      <c r="F86" s="255">
        <f t="shared" si="8"/>
        <v>-21.636097873714895</v>
      </c>
      <c r="G86" s="251" t="s">
        <v>757</v>
      </c>
      <c r="H86" s="251"/>
      <c r="I86" s="254">
        <f>(S7*B86)/79.76</f>
        <v>0.77298290535563341</v>
      </c>
      <c r="J86" s="86"/>
      <c r="K86" s="87"/>
      <c r="L86" s="3"/>
      <c r="M86" s="3"/>
      <c r="N86" s="3"/>
      <c r="O86" s="3"/>
      <c r="P86" s="3"/>
      <c r="Q86" s="492"/>
      <c r="R86" s="840"/>
      <c r="S86" s="840"/>
      <c r="T86" s="840"/>
      <c r="U86" s="846"/>
    </row>
    <row r="87" spans="1:21" ht="13">
      <c r="A87" s="870"/>
      <c r="B87" s="870">
        <v>670</v>
      </c>
      <c r="C87" s="870">
        <f t="shared" si="5"/>
        <v>1.3072490283659268E-6</v>
      </c>
      <c r="D87" s="870">
        <f t="shared" si="7"/>
        <v>1.3072490283659268</v>
      </c>
      <c r="E87" s="870">
        <f t="shared" si="6"/>
        <v>4.2914456901212046E-3</v>
      </c>
      <c r="F87" s="255">
        <f t="shared" si="8"/>
        <v>-23.673963792662658</v>
      </c>
      <c r="G87" s="251" t="s">
        <v>757</v>
      </c>
      <c r="H87" s="251"/>
      <c r="I87" s="254">
        <f>(S7*B87)/79.76</f>
        <v>0.79676699475119128</v>
      </c>
      <c r="J87" s="86"/>
      <c r="K87" s="87"/>
      <c r="L87" s="3"/>
      <c r="M87" s="3"/>
      <c r="N87" s="3"/>
      <c r="O87" s="3"/>
      <c r="P87" s="3"/>
      <c r="Q87" s="492"/>
      <c r="R87" s="840"/>
      <c r="S87" s="840"/>
      <c r="T87" s="840"/>
      <c r="U87" s="846"/>
    </row>
    <row r="88" spans="1:21" ht="13">
      <c r="A88" s="870"/>
      <c r="B88" s="870">
        <v>680</v>
      </c>
      <c r="C88" s="870">
        <f t="shared" si="5"/>
        <v>8.9354652068887208E-7</v>
      </c>
      <c r="D88" s="870">
        <f t="shared" si="7"/>
        <v>0.89354652068887208</v>
      </c>
      <c r="E88" s="870">
        <f t="shared" si="6"/>
        <v>2.93334038268619E-3</v>
      </c>
      <c r="F88" s="255">
        <f t="shared" si="8"/>
        <v>-25.326375388792549</v>
      </c>
      <c r="G88" s="251" t="s">
        <v>757</v>
      </c>
      <c r="H88" s="251"/>
      <c r="I88" s="254">
        <f>(S7*B88)/79.76</f>
        <v>0.80865903944897033</v>
      </c>
      <c r="J88" s="86"/>
      <c r="K88" s="87"/>
      <c r="L88" s="3"/>
      <c r="M88" s="3"/>
      <c r="N88" s="3"/>
      <c r="O88" s="3"/>
      <c r="P88" s="3"/>
      <c r="Q88" s="492"/>
      <c r="R88" s="840"/>
      <c r="S88" s="840"/>
      <c r="T88" s="840"/>
      <c r="U88" s="846"/>
    </row>
    <row r="89" spans="1:21" ht="13">
      <c r="A89" s="870"/>
      <c r="B89" s="870">
        <v>690</v>
      </c>
      <c r="C89" s="870">
        <f t="shared" ref="C89:C104" si="9">((SIN(RADIANS(B89)))^2)/B89^2</f>
        <v>5.2509976895610143E-7</v>
      </c>
      <c r="D89" s="870">
        <f t="shared" si="7"/>
        <v>0.52509976895610144</v>
      </c>
      <c r="E89" s="870">
        <f t="shared" si="6"/>
        <v>1.7238009678898891E-3</v>
      </c>
      <c r="F89" s="255">
        <f t="shared" si="8"/>
        <v>-27.635128797741245</v>
      </c>
      <c r="G89" s="251" t="s">
        <v>757</v>
      </c>
      <c r="H89" s="251"/>
      <c r="I89" s="254">
        <f>(S7*B89)/79.76</f>
        <v>0.82055108414674915</v>
      </c>
      <c r="J89" s="86"/>
      <c r="K89" s="87"/>
      <c r="L89" s="3"/>
      <c r="M89" s="3"/>
      <c r="N89" s="3"/>
      <c r="O89" s="3"/>
      <c r="P89" s="3"/>
      <c r="Q89" s="492"/>
      <c r="R89" s="840"/>
      <c r="S89" s="840"/>
      <c r="T89" s="840"/>
      <c r="U89" s="846"/>
    </row>
    <row r="90" spans="1:21" ht="13">
      <c r="A90" s="870"/>
      <c r="B90" s="870">
        <v>700</v>
      </c>
      <c r="C90" s="870">
        <f t="shared" si="9"/>
        <v>2.3873016008267562E-7</v>
      </c>
      <c r="D90" s="870">
        <f t="shared" si="7"/>
        <v>0.23873016008267561</v>
      </c>
      <c r="E90" s="870">
        <f t="shared" si="6"/>
        <v>7.8370493636501274E-4</v>
      </c>
      <c r="F90" s="255">
        <f t="shared" si="8"/>
        <v>-31.058474177091306</v>
      </c>
      <c r="G90" s="251" t="s">
        <v>757</v>
      </c>
      <c r="H90" s="251"/>
      <c r="I90" s="254">
        <f>(S7*B90)/79.76</f>
        <v>0.83244312884452831</v>
      </c>
      <c r="J90" s="86"/>
      <c r="K90" s="87"/>
      <c r="L90" s="3"/>
      <c r="M90" s="3"/>
      <c r="N90" s="3"/>
      <c r="O90" s="3"/>
      <c r="P90" s="3"/>
      <c r="Q90" s="492"/>
      <c r="R90" s="840"/>
      <c r="S90" s="840"/>
      <c r="T90" s="840"/>
      <c r="U90" s="846"/>
    </row>
    <row r="91" spans="1:21" ht="13">
      <c r="A91" s="870"/>
      <c r="B91" s="870">
        <v>710</v>
      </c>
      <c r="C91" s="870">
        <f t="shared" si="9"/>
        <v>5.981688079160069E-8</v>
      </c>
      <c r="D91" s="870">
        <f t="shared" si="7"/>
        <v>5.9816880791600691E-2</v>
      </c>
      <c r="E91" s="870">
        <f t="shared" si="6"/>
        <v>1.9636724885578006E-4</v>
      </c>
      <c r="F91" s="255">
        <f t="shared" si="8"/>
        <v>-37.069309443865997</v>
      </c>
      <c r="G91" s="251" t="s">
        <v>757</v>
      </c>
      <c r="H91" s="251"/>
      <c r="I91" s="254">
        <f>(S7*B91)/79.76</f>
        <v>0.84433517354230725</v>
      </c>
      <c r="J91" s="86"/>
      <c r="K91" s="87"/>
      <c r="L91" s="3"/>
      <c r="M91" s="3"/>
      <c r="N91" s="3"/>
      <c r="O91" s="3"/>
      <c r="P91" s="3"/>
      <c r="Q91" s="492"/>
      <c r="R91" s="840"/>
      <c r="S91" s="841"/>
      <c r="T91" s="840"/>
      <c r="U91" s="846"/>
    </row>
    <row r="92" spans="1:21" ht="13">
      <c r="A92" s="870"/>
      <c r="B92" s="870">
        <v>720</v>
      </c>
      <c r="C92" s="870">
        <f t="shared" si="9"/>
        <v>4.6326812856943794E-37</v>
      </c>
      <c r="D92" s="870">
        <f t="shared" si="7"/>
        <v>4.6326812856943792E-31</v>
      </c>
      <c r="E92" s="870">
        <f t="shared" si="6"/>
        <v>1.5208196530120668E-33</v>
      </c>
      <c r="F92" s="256">
        <f t="shared" si="8"/>
        <v>-328.17922283873054</v>
      </c>
      <c r="G92" s="251" t="s">
        <v>757</v>
      </c>
      <c r="H92" s="251"/>
      <c r="I92" s="257">
        <f>(S7*B92)/79.76</f>
        <v>0.8562272182400863</v>
      </c>
      <c r="J92" s="260" t="s">
        <v>50</v>
      </c>
      <c r="K92" s="87"/>
      <c r="L92" s="3"/>
      <c r="M92" s="3"/>
      <c r="N92" s="3"/>
      <c r="O92" s="3"/>
      <c r="P92" s="3"/>
      <c r="Q92" s="492"/>
      <c r="R92" s="840"/>
      <c r="S92" s="840"/>
      <c r="T92" s="840"/>
      <c r="U92" s="846"/>
    </row>
    <row r="93" spans="1:21" ht="13">
      <c r="A93" s="870"/>
      <c r="B93" s="870">
        <v>730</v>
      </c>
      <c r="C93" s="870">
        <f t="shared" si="9"/>
        <v>5.6584142629096589E-8</v>
      </c>
      <c r="D93" s="870">
        <f t="shared" si="7"/>
        <v>5.6584142629096591E-2</v>
      </c>
      <c r="E93" s="870">
        <f t="shared" si="6"/>
        <v>1.8575479479864446E-4</v>
      </c>
      <c r="F93" s="255">
        <f t="shared" si="8"/>
        <v>-37.310599671893655</v>
      </c>
      <c r="G93" s="251" t="s">
        <v>757</v>
      </c>
      <c r="H93" s="251"/>
      <c r="I93" s="254">
        <f>(S7*B93)/79.76</f>
        <v>0.86811926293786523</v>
      </c>
      <c r="J93" s="86"/>
      <c r="K93" s="87"/>
      <c r="L93" s="3"/>
      <c r="M93" s="3"/>
      <c r="N93" s="3"/>
      <c r="O93" s="3"/>
      <c r="P93" s="3"/>
      <c r="Q93" s="492"/>
      <c r="R93" s="840"/>
      <c r="S93" s="840"/>
      <c r="T93" s="840"/>
      <c r="U93" s="846"/>
    </row>
    <row r="94" spans="1:21" ht="13">
      <c r="A94" s="870"/>
      <c r="B94" s="870">
        <v>740</v>
      </c>
      <c r="C94" s="870">
        <f t="shared" si="9"/>
        <v>2.1361902564008473E-7</v>
      </c>
      <c r="D94" s="870">
        <f t="shared" si="7"/>
        <v>0.21361902564008473</v>
      </c>
      <c r="E94" s="870">
        <f t="shared" si="6"/>
        <v>7.0126993940623468E-4</v>
      </c>
      <c r="F94" s="255">
        <f t="shared" si="8"/>
        <v>-31.541147771425713</v>
      </c>
      <c r="G94" s="251" t="s">
        <v>757</v>
      </c>
      <c r="H94" s="251"/>
      <c r="I94" s="254">
        <f>(S7*B94)/79.76</f>
        <v>0.88001130763564406</v>
      </c>
      <c r="J94" s="86"/>
      <c r="K94" s="87"/>
      <c r="L94" s="3"/>
      <c r="M94" s="3"/>
      <c r="N94" s="3"/>
      <c r="O94" s="3"/>
      <c r="P94" s="3"/>
      <c r="Q94" s="492"/>
      <c r="R94" s="840"/>
      <c r="S94" s="840"/>
      <c r="T94" s="840"/>
      <c r="U94" s="846"/>
    </row>
    <row r="95" spans="1:21" ht="13">
      <c r="A95" s="870"/>
      <c r="B95" s="870">
        <v>750</v>
      </c>
      <c r="C95" s="870">
        <f t="shared" si="9"/>
        <v>4.4444444444444274E-7</v>
      </c>
      <c r="D95" s="870">
        <f t="shared" si="7"/>
        <v>0.44444444444444275</v>
      </c>
      <c r="E95" s="870">
        <f t="shared" si="6"/>
        <v>1.4590251392219971E-3</v>
      </c>
      <c r="F95" s="255">
        <f t="shared" si="8"/>
        <v>-28.359372250830155</v>
      </c>
      <c r="G95" s="251" t="s">
        <v>757</v>
      </c>
      <c r="H95" s="251"/>
      <c r="I95" s="254">
        <f>(S7*B95)/79.76</f>
        <v>0.89190335233342322</v>
      </c>
      <c r="J95" s="86"/>
      <c r="K95" s="87"/>
      <c r="L95" s="3"/>
      <c r="M95" s="3"/>
      <c r="N95" s="3"/>
      <c r="O95" s="3"/>
      <c r="P95" s="3"/>
      <c r="Q95" s="492"/>
      <c r="R95" s="840"/>
      <c r="S95" s="840"/>
      <c r="T95" s="840"/>
      <c r="U95" s="846"/>
    </row>
    <row r="96" spans="1:21" ht="13">
      <c r="A96" s="870"/>
      <c r="B96" s="870">
        <v>760</v>
      </c>
      <c r="C96" s="870">
        <f t="shared" si="9"/>
        <v>7.1533225617474943E-7</v>
      </c>
      <c r="D96" s="870">
        <f t="shared" si="7"/>
        <v>0.71533225617474938</v>
      </c>
      <c r="E96" s="870">
        <f t="shared" si="6"/>
        <v>2.3482974254745441E-3</v>
      </c>
      <c r="F96" s="255">
        <f t="shared" si="8"/>
        <v>-26.292468980283637</v>
      </c>
      <c r="G96" s="251" t="s">
        <v>757</v>
      </c>
      <c r="H96" s="251"/>
      <c r="I96" s="254">
        <f>(S7*B96)/79.76</f>
        <v>0.90379539703120204</v>
      </c>
      <c r="J96" s="86"/>
      <c r="K96" s="87"/>
      <c r="L96" s="3"/>
      <c r="M96" s="3"/>
      <c r="N96" s="3"/>
      <c r="O96" s="3"/>
      <c r="P96" s="3"/>
      <c r="Q96" s="492"/>
      <c r="R96" s="840"/>
      <c r="S96" s="840"/>
      <c r="T96" s="840"/>
      <c r="U96" s="846"/>
    </row>
    <row r="97" spans="1:21" ht="13">
      <c r="A97" s="870"/>
      <c r="B97" s="870">
        <v>770</v>
      </c>
      <c r="C97" s="870">
        <f t="shared" si="9"/>
        <v>9.8975221594445192E-7</v>
      </c>
      <c r="D97" s="870">
        <f t="shared" si="7"/>
        <v>0.98975221594445195</v>
      </c>
      <c r="E97" s="870">
        <f t="shared" si="6"/>
        <v>3.2491650704931894E-3</v>
      </c>
      <c r="F97" s="255">
        <f t="shared" si="8"/>
        <v>-24.882282242095762</v>
      </c>
      <c r="G97" s="251" t="s">
        <v>757</v>
      </c>
      <c r="H97" s="251"/>
      <c r="I97" s="254">
        <f>(S7*B97)/79.76</f>
        <v>0.91568744172898098</v>
      </c>
      <c r="J97" s="86"/>
      <c r="K97" s="87"/>
      <c r="L97" s="3"/>
      <c r="M97" s="3"/>
      <c r="N97" s="3"/>
      <c r="O97" s="3"/>
      <c r="P97" s="3"/>
      <c r="Q97" s="492"/>
      <c r="R97" s="840"/>
      <c r="S97" s="840"/>
      <c r="T97" s="840"/>
      <c r="U97" s="846"/>
    </row>
    <row r="98" spans="1:21" ht="13">
      <c r="A98" s="870"/>
      <c r="B98" s="870">
        <v>780</v>
      </c>
      <c r="C98" s="870">
        <f t="shared" si="9"/>
        <v>1.2327416173570021E-6</v>
      </c>
      <c r="D98" s="870">
        <f t="shared" si="7"/>
        <v>1.2327416173570021</v>
      </c>
      <c r="E98" s="870">
        <f t="shared" si="6"/>
        <v>4.0468522722503777E-3</v>
      </c>
      <c r="F98" s="255">
        <f t="shared" si="8"/>
        <v>-23.928826489609122</v>
      </c>
      <c r="G98" s="251" t="s">
        <v>757</v>
      </c>
      <c r="H98" s="251"/>
      <c r="I98" s="254">
        <f>(S7*B98)/79.76</f>
        <v>0.92757948642676014</v>
      </c>
      <c r="J98" s="86"/>
      <c r="K98" s="87"/>
      <c r="L98" s="3"/>
      <c r="M98" s="3"/>
      <c r="N98" s="3"/>
      <c r="O98" s="3"/>
      <c r="P98" s="3"/>
      <c r="Q98" s="492"/>
      <c r="R98" s="840"/>
      <c r="S98" s="840"/>
      <c r="T98" s="840"/>
      <c r="U98" s="846"/>
    </row>
    <row r="99" spans="1:21" ht="13">
      <c r="A99" s="870"/>
      <c r="B99" s="870">
        <v>790</v>
      </c>
      <c r="C99" s="870">
        <f t="shared" si="9"/>
        <v>1.4148729715742491E-6</v>
      </c>
      <c r="D99" s="870">
        <f t="shared" si="7"/>
        <v>1.414872971574249</v>
      </c>
      <c r="E99" s="870">
        <f t="shared" si="6"/>
        <v>4.6447542772482765E-3</v>
      </c>
      <c r="F99" s="255">
        <f t="shared" si="8"/>
        <v>-23.330372566666618</v>
      </c>
      <c r="G99" s="251" t="s">
        <v>757</v>
      </c>
      <c r="H99" s="251"/>
      <c r="I99" s="254">
        <f>(S7*B99)/79.76</f>
        <v>0.93947153112453896</v>
      </c>
      <c r="J99" s="86"/>
      <c r="K99" s="87"/>
      <c r="L99" s="3"/>
      <c r="M99" s="3"/>
      <c r="N99" s="3"/>
      <c r="O99" s="3"/>
      <c r="P99" s="3"/>
      <c r="Q99" s="492"/>
      <c r="R99" s="840"/>
      <c r="S99" s="840"/>
      <c r="T99" s="840"/>
      <c r="U99" s="846"/>
    </row>
    <row r="100" spans="1:21" ht="13">
      <c r="A100" s="870"/>
      <c r="B100" s="870">
        <v>800</v>
      </c>
      <c r="C100" s="870">
        <f t="shared" si="9"/>
        <v>1.5153848599889908E-6</v>
      </c>
      <c r="D100" s="870">
        <f t="shared" si="7"/>
        <v>1.5153848599889908</v>
      </c>
      <c r="E100" s="870">
        <f t="shared" si="6"/>
        <v>4.9747153642207926E-3</v>
      </c>
      <c r="F100" s="255">
        <f t="shared" si="8"/>
        <v>-23.032317630156676</v>
      </c>
      <c r="G100" s="251" t="s">
        <v>757</v>
      </c>
      <c r="H100" s="251"/>
      <c r="I100" s="254">
        <f>(S7*B100)/79.76</f>
        <v>0.95136357582231812</v>
      </c>
      <c r="J100" s="86"/>
      <c r="K100" s="87"/>
      <c r="L100" s="3"/>
      <c r="M100" s="3"/>
      <c r="N100" s="3"/>
      <c r="O100" s="3"/>
      <c r="P100" s="3"/>
      <c r="Q100" s="492"/>
      <c r="R100" s="840"/>
      <c r="S100" s="841"/>
      <c r="T100" s="840"/>
      <c r="U100" s="846"/>
    </row>
    <row r="101" spans="1:21" ht="13">
      <c r="A101" s="870"/>
      <c r="B101" s="870">
        <v>810</v>
      </c>
      <c r="C101" s="870">
        <f t="shared" si="9"/>
        <v>1.5241579027587259E-6</v>
      </c>
      <c r="D101" s="870">
        <f t="shared" si="7"/>
        <v>1.5241579027587258</v>
      </c>
      <c r="E101" s="870">
        <f t="shared" si="6"/>
        <v>5.003515566604947E-3</v>
      </c>
      <c r="F101" s="258">
        <f t="shared" si="8"/>
        <v>-23.007247447289512</v>
      </c>
      <c r="G101" s="251" t="s">
        <v>757</v>
      </c>
      <c r="H101" s="251"/>
      <c r="I101" s="259">
        <f>(S7*B101)/79.76</f>
        <v>0.96325562052009694</v>
      </c>
      <c r="J101" s="260" t="s">
        <v>51</v>
      </c>
      <c r="K101" s="261"/>
      <c r="L101" s="3"/>
      <c r="M101" s="3"/>
      <c r="N101" s="3"/>
      <c r="O101" s="3"/>
      <c r="P101" s="3"/>
      <c r="Q101" s="492"/>
      <c r="R101" s="840"/>
      <c r="S101" s="840"/>
      <c r="T101" s="840"/>
      <c r="U101" s="846"/>
    </row>
    <row r="102" spans="1:21" ht="13">
      <c r="A102" s="870"/>
      <c r="B102" s="870">
        <v>820</v>
      </c>
      <c r="C102" s="870">
        <f t="shared" si="9"/>
        <v>1.4423651255100455E-6</v>
      </c>
      <c r="D102" s="870">
        <f t="shared" si="7"/>
        <v>1.4423651255100456</v>
      </c>
      <c r="E102" s="870">
        <f t="shared" si="6"/>
        <v>4.7350057006265754E-3</v>
      </c>
      <c r="F102" s="255">
        <f t="shared" si="8"/>
        <v>-23.246794937992135</v>
      </c>
      <c r="G102" s="251" t="s">
        <v>757</v>
      </c>
      <c r="H102" s="251"/>
      <c r="I102" s="254">
        <f>(S7*B102)/79.76</f>
        <v>0.97514766521787588</v>
      </c>
      <c r="J102" s="86"/>
      <c r="K102" s="87"/>
      <c r="L102" s="3"/>
      <c r="M102" s="3"/>
      <c r="N102" s="3"/>
      <c r="O102" s="3"/>
      <c r="P102" s="3"/>
      <c r="Q102" s="492"/>
      <c r="R102" s="840"/>
      <c r="S102" s="840"/>
      <c r="T102" s="840"/>
      <c r="U102" s="846"/>
    </row>
    <row r="103" spans="1:21" ht="13">
      <c r="A103" s="870"/>
      <c r="B103" s="870">
        <v>830</v>
      </c>
      <c r="C103" s="870">
        <f t="shared" si="9"/>
        <v>1.281785776686732E-6</v>
      </c>
      <c r="D103" s="870">
        <f t="shared" si="7"/>
        <v>1.281785776686732</v>
      </c>
      <c r="E103" s="870">
        <f t="shared" si="6"/>
        <v>4.2078547603870697E-3</v>
      </c>
      <c r="F103" s="255">
        <f t="shared" si="8"/>
        <v>-23.75939258837926</v>
      </c>
      <c r="G103" s="251" t="s">
        <v>757</v>
      </c>
      <c r="H103" s="251"/>
      <c r="I103" s="254">
        <f>(S7*B103)/79.76</f>
        <v>0.98703970991565493</v>
      </c>
      <c r="J103" s="86"/>
      <c r="K103" s="87"/>
      <c r="L103" s="3"/>
      <c r="M103" s="3"/>
      <c r="N103" s="3"/>
      <c r="O103" s="3"/>
      <c r="P103" s="3"/>
      <c r="Q103" s="492"/>
      <c r="R103" s="840"/>
      <c r="S103" s="840"/>
      <c r="T103" s="840"/>
      <c r="U103" s="846"/>
    </row>
    <row r="104" spans="1:21" ht="13">
      <c r="A104" s="870"/>
      <c r="B104" s="870">
        <v>840</v>
      </c>
      <c r="C104" s="870">
        <f t="shared" si="9"/>
        <v>1.0629251700680265E-6</v>
      </c>
      <c r="D104" s="870">
        <f t="shared" si="7"/>
        <v>1.0629251700680264</v>
      </c>
      <c r="E104" s="870">
        <f t="shared" si="6"/>
        <v>3.4893777245424145E-3</v>
      </c>
      <c r="F104" s="255">
        <f t="shared" si="8"/>
        <v>-24.572520157037154</v>
      </c>
      <c r="G104" s="251" t="s">
        <v>757</v>
      </c>
      <c r="H104" s="251"/>
      <c r="I104" s="254">
        <f>(S7*B104)/79.76</f>
        <v>0.99893175461343386</v>
      </c>
      <c r="J104" s="86"/>
      <c r="K104" s="87"/>
      <c r="L104" s="3"/>
      <c r="M104" s="3"/>
      <c r="N104" s="3"/>
      <c r="O104" s="3"/>
      <c r="P104" s="3"/>
      <c r="Q104" s="492"/>
      <c r="R104" s="840"/>
      <c r="S104" s="840"/>
      <c r="T104" s="840"/>
      <c r="U104" s="846"/>
    </row>
    <row r="105" spans="1:21">
      <c r="A105" s="870"/>
      <c r="B105" s="870"/>
      <c r="C105" s="870"/>
      <c r="D105" s="870"/>
      <c r="E105" s="870"/>
      <c r="F105" s="85"/>
      <c r="G105" s="86"/>
      <c r="H105" s="86"/>
      <c r="I105" s="86"/>
      <c r="J105" s="86"/>
      <c r="K105" s="87"/>
      <c r="L105" s="3"/>
      <c r="M105" s="3"/>
      <c r="N105" s="3"/>
      <c r="O105" s="3"/>
      <c r="P105" s="3"/>
      <c r="Q105" s="3"/>
      <c r="R105" s="840"/>
      <c r="S105" s="840"/>
      <c r="T105" s="840"/>
      <c r="U105" s="840"/>
    </row>
    <row r="106" spans="1:21">
      <c r="A106" s="870"/>
      <c r="B106" s="870"/>
      <c r="C106" s="870"/>
      <c r="D106" s="870"/>
      <c r="E106" s="870"/>
      <c r="F106" s="88"/>
      <c r="G106" s="89"/>
      <c r="H106" s="89"/>
      <c r="I106" s="89"/>
      <c r="J106" s="89"/>
      <c r="K106" s="90"/>
      <c r="L106" s="3"/>
      <c r="M106" s="3"/>
      <c r="N106" s="3"/>
      <c r="O106" s="3"/>
      <c r="P106" s="3"/>
      <c r="Q106" s="3"/>
      <c r="R106" s="840"/>
      <c r="S106" s="840"/>
      <c r="T106" s="840"/>
      <c r="U106" s="840"/>
    </row>
    <row r="107" spans="1:21">
      <c r="A107" s="469"/>
      <c r="B107" s="469"/>
      <c r="C107" s="469"/>
      <c r="D107" s="469"/>
      <c r="E107" s="469"/>
      <c r="F107" s="3"/>
      <c r="G107" s="3"/>
      <c r="H107" s="3"/>
      <c r="I107" s="3"/>
      <c r="J107" s="3"/>
      <c r="K107" s="3"/>
      <c r="L107" s="3"/>
      <c r="M107" s="3"/>
      <c r="N107" s="3"/>
      <c r="O107" s="3"/>
      <c r="P107" s="3"/>
      <c r="Q107" s="3"/>
      <c r="R107" s="840"/>
      <c r="S107" s="840"/>
      <c r="T107" s="840"/>
      <c r="U107" s="840"/>
    </row>
    <row r="108" spans="1:21">
      <c r="A108" s="469"/>
      <c r="B108" s="469"/>
      <c r="C108" s="469"/>
      <c r="D108" s="469"/>
      <c r="E108" s="469"/>
      <c r="F108" s="3"/>
      <c r="G108" s="3"/>
      <c r="H108" s="3"/>
      <c r="I108" s="3"/>
      <c r="J108" s="3"/>
      <c r="K108" s="3"/>
      <c r="L108" s="3"/>
      <c r="M108" s="3"/>
      <c r="N108" s="3"/>
      <c r="O108" s="3"/>
      <c r="P108" s="3"/>
      <c r="Q108" s="3"/>
      <c r="R108" s="840"/>
      <c r="S108" s="840"/>
      <c r="T108" s="840"/>
      <c r="U108" s="840"/>
    </row>
    <row r="109" spans="1:21">
      <c r="A109" s="469"/>
      <c r="B109" s="469"/>
      <c r="C109" s="469"/>
      <c r="D109" s="469"/>
      <c r="E109" s="469"/>
      <c r="F109" s="3"/>
      <c r="G109" s="3"/>
      <c r="H109" s="3"/>
      <c r="I109" s="3"/>
      <c r="J109" s="3"/>
      <c r="K109" s="3"/>
      <c r="L109" s="3"/>
      <c r="M109" s="3"/>
      <c r="N109" s="3"/>
      <c r="O109" s="3"/>
      <c r="P109" s="3"/>
      <c r="Q109" s="3"/>
      <c r="R109" s="840"/>
      <c r="S109" s="840"/>
      <c r="T109" s="840"/>
      <c r="U109" s="840"/>
    </row>
    <row r="110" spans="1:21">
      <c r="A110" s="469"/>
      <c r="B110" s="469"/>
      <c r="C110" s="469"/>
      <c r="D110" s="469"/>
      <c r="E110" s="469"/>
      <c r="F110" s="3"/>
      <c r="G110" s="3"/>
      <c r="H110" s="3"/>
      <c r="I110" s="3"/>
      <c r="J110" s="3"/>
      <c r="K110" s="3"/>
      <c r="L110" s="3"/>
      <c r="M110" s="3"/>
      <c r="N110" s="3"/>
      <c r="O110" s="3"/>
      <c r="P110" s="3"/>
      <c r="Q110" s="3"/>
      <c r="R110" s="840"/>
      <c r="S110" s="840"/>
      <c r="T110" s="840"/>
      <c r="U110" s="840"/>
    </row>
    <row r="111" spans="1:21">
      <c r="A111" s="469"/>
      <c r="B111" s="469"/>
      <c r="C111" s="469"/>
      <c r="D111" s="469"/>
      <c r="E111" s="469"/>
      <c r="F111" s="3"/>
      <c r="G111" s="3"/>
      <c r="H111" s="3"/>
      <c r="I111" s="3"/>
      <c r="J111" s="3"/>
      <c r="K111" s="3"/>
      <c r="L111" s="3"/>
      <c r="M111" s="3"/>
      <c r="N111" s="3"/>
      <c r="O111" s="3"/>
      <c r="P111" s="3"/>
      <c r="Q111" s="3"/>
      <c r="R111" s="840"/>
      <c r="S111" s="840"/>
      <c r="T111" s="840"/>
      <c r="U111" s="840"/>
    </row>
    <row r="112" spans="1:21">
      <c r="A112" s="3"/>
      <c r="B112" s="3"/>
      <c r="C112" s="3"/>
      <c r="D112" s="3"/>
      <c r="E112" s="3"/>
      <c r="F112" s="3"/>
      <c r="G112" s="3"/>
      <c r="H112" s="3"/>
      <c r="I112" s="3"/>
      <c r="J112" s="3"/>
      <c r="K112" s="3"/>
      <c r="L112" s="3"/>
      <c r="M112" s="3"/>
      <c r="N112" s="3"/>
      <c r="O112" s="3"/>
      <c r="P112" s="3"/>
      <c r="Q112" s="3"/>
      <c r="R112" s="840"/>
      <c r="S112" s="840"/>
      <c r="T112" s="840"/>
      <c r="U112" s="840"/>
    </row>
    <row r="113" spans="1:21">
      <c r="A113" s="3"/>
      <c r="B113" s="3"/>
      <c r="C113" s="3"/>
      <c r="D113" s="3"/>
      <c r="E113" s="3"/>
      <c r="F113" s="3"/>
      <c r="G113" s="3"/>
      <c r="H113" s="3"/>
      <c r="I113" s="3"/>
      <c r="J113" s="3"/>
      <c r="K113" s="3"/>
      <c r="L113" s="3"/>
      <c r="M113" s="3"/>
      <c r="N113" s="3"/>
      <c r="O113" s="3"/>
      <c r="P113" s="3"/>
      <c r="Q113" s="3"/>
      <c r="R113" s="840"/>
      <c r="S113" s="840"/>
      <c r="T113" s="840"/>
      <c r="U113" s="840"/>
    </row>
    <row r="114" spans="1:21">
      <c r="A114" s="3"/>
      <c r="B114" s="3"/>
      <c r="C114" s="3"/>
      <c r="D114" s="3"/>
      <c r="E114" s="3"/>
      <c r="F114" s="3"/>
      <c r="G114" s="3"/>
      <c r="H114" s="3"/>
      <c r="I114" s="3"/>
      <c r="J114" s="3"/>
      <c r="K114" s="3"/>
      <c r="L114" s="3"/>
      <c r="M114" s="3"/>
      <c r="N114" s="3"/>
      <c r="O114" s="3"/>
      <c r="P114" s="3"/>
      <c r="Q114" s="3"/>
      <c r="R114" s="840"/>
      <c r="S114" s="840"/>
      <c r="T114" s="840"/>
      <c r="U114" s="840"/>
    </row>
    <row r="115" spans="1:21">
      <c r="A115" s="3"/>
      <c r="B115" s="3"/>
      <c r="C115" s="3"/>
      <c r="D115" s="3"/>
      <c r="E115" s="3"/>
      <c r="F115" s="3"/>
      <c r="G115" s="3"/>
      <c r="H115" s="3"/>
      <c r="I115" s="3"/>
      <c r="J115" s="3"/>
      <c r="K115" s="3"/>
      <c r="L115" s="3"/>
      <c r="M115" s="3"/>
      <c r="N115" s="3"/>
      <c r="O115" s="3"/>
      <c r="P115" s="3"/>
      <c r="Q115" s="3"/>
      <c r="R115" s="840"/>
      <c r="S115" s="840"/>
      <c r="T115" s="840"/>
      <c r="U115" s="840"/>
    </row>
    <row r="116" spans="1:21">
      <c r="A116" s="3"/>
      <c r="B116" s="3"/>
      <c r="C116" s="3"/>
      <c r="D116" s="3"/>
      <c r="E116" s="3"/>
      <c r="F116" s="3"/>
      <c r="G116" s="3"/>
      <c r="H116" s="3"/>
      <c r="I116" s="3"/>
      <c r="J116" s="3"/>
      <c r="K116" s="3"/>
      <c r="L116" s="3"/>
      <c r="M116" s="3"/>
      <c r="N116" s="3"/>
      <c r="O116" s="3"/>
      <c r="P116" s="3"/>
      <c r="Q116" s="3"/>
      <c r="R116" s="840"/>
      <c r="S116" s="840"/>
      <c r="T116" s="840"/>
      <c r="U116" s="840"/>
    </row>
    <row r="117" spans="1:21">
      <c r="A117" s="3"/>
      <c r="B117" s="3"/>
      <c r="C117" s="3"/>
      <c r="D117" s="3"/>
      <c r="E117" s="3"/>
      <c r="F117" s="3"/>
      <c r="G117" s="3"/>
      <c r="H117" s="3"/>
      <c r="I117" s="3"/>
      <c r="J117" s="3"/>
      <c r="K117" s="3"/>
      <c r="L117" s="3"/>
      <c r="M117" s="3"/>
      <c r="N117" s="3"/>
      <c r="O117" s="3"/>
      <c r="P117" s="3"/>
      <c r="Q117" s="3"/>
      <c r="R117" s="840"/>
      <c r="S117" s="840"/>
      <c r="T117" s="840"/>
      <c r="U117" s="840"/>
    </row>
    <row r="118" spans="1:21">
      <c r="A118" s="3"/>
      <c r="B118" s="3"/>
      <c r="C118" s="3"/>
      <c r="D118" s="3"/>
      <c r="E118" s="3"/>
      <c r="F118" s="3"/>
      <c r="G118" s="3"/>
      <c r="H118" s="3"/>
      <c r="I118" s="3"/>
      <c r="J118" s="3"/>
      <c r="K118" s="3"/>
      <c r="L118" s="3"/>
      <c r="M118" s="3"/>
      <c r="N118" s="3"/>
      <c r="O118" s="3"/>
      <c r="P118" s="3"/>
      <c r="Q118" s="3"/>
      <c r="R118" s="840"/>
      <c r="S118" s="840"/>
      <c r="T118" s="840"/>
      <c r="U118" s="840"/>
    </row>
    <row r="119" spans="1:21">
      <c r="A119" s="3"/>
      <c r="B119" s="3"/>
      <c r="C119" s="3"/>
      <c r="D119" s="3"/>
      <c r="E119" s="3"/>
      <c r="F119" s="3"/>
      <c r="G119" s="3"/>
      <c r="H119" s="3"/>
      <c r="I119" s="3"/>
      <c r="J119" s="3"/>
      <c r="K119" s="3"/>
      <c r="L119" s="3"/>
      <c r="M119" s="3"/>
      <c r="N119" s="3"/>
      <c r="O119" s="3"/>
      <c r="P119" s="3"/>
      <c r="Q119" s="3"/>
      <c r="R119" s="840"/>
      <c r="S119" s="840"/>
      <c r="T119" s="840"/>
      <c r="U119" s="840"/>
    </row>
    <row r="120" spans="1:21">
      <c r="A120" s="3"/>
      <c r="B120" s="3"/>
      <c r="C120" s="3"/>
      <c r="D120" s="3"/>
      <c r="E120" s="3"/>
      <c r="F120" s="3"/>
      <c r="G120" s="3"/>
      <c r="H120" s="3"/>
      <c r="I120" s="3"/>
      <c r="J120" s="3"/>
      <c r="K120" s="3"/>
      <c r="L120" s="3"/>
      <c r="M120" s="3"/>
      <c r="N120" s="3"/>
      <c r="O120" s="3"/>
      <c r="P120" s="3"/>
      <c r="Q120" s="3"/>
      <c r="R120" s="840"/>
      <c r="S120" s="840"/>
      <c r="T120" s="840"/>
      <c r="U120" s="840"/>
    </row>
    <row r="121" spans="1:21">
      <c r="A121" s="3"/>
      <c r="B121" s="3"/>
      <c r="C121" s="3"/>
      <c r="D121" s="3"/>
      <c r="E121" s="3"/>
      <c r="F121" s="3"/>
      <c r="G121" s="3"/>
      <c r="H121" s="3"/>
      <c r="I121" s="3"/>
      <c r="J121" s="3"/>
      <c r="K121" s="3"/>
      <c r="L121" s="3"/>
      <c r="M121" s="3"/>
      <c r="N121" s="3"/>
      <c r="O121" s="3"/>
      <c r="P121" s="3"/>
      <c r="Q121" s="3"/>
      <c r="R121" s="840"/>
      <c r="S121" s="840"/>
      <c r="T121" s="840"/>
      <c r="U121" s="840"/>
    </row>
    <row r="122" spans="1:21">
      <c r="A122" s="3"/>
      <c r="B122" s="3"/>
      <c r="C122" s="3"/>
      <c r="D122" s="3"/>
      <c r="E122" s="3"/>
      <c r="F122" s="3"/>
      <c r="G122" s="3"/>
      <c r="H122" s="3"/>
      <c r="I122" s="3"/>
      <c r="J122" s="3"/>
      <c r="K122" s="3"/>
      <c r="L122" s="3"/>
      <c r="M122" s="3"/>
      <c r="N122" s="3"/>
      <c r="O122" s="3"/>
      <c r="P122" s="3"/>
      <c r="Q122" s="3"/>
      <c r="R122" s="840"/>
      <c r="S122" s="840"/>
      <c r="T122" s="840"/>
      <c r="U122" s="840"/>
    </row>
    <row r="123" spans="1:21">
      <c r="A123" s="3"/>
      <c r="B123" s="3"/>
      <c r="C123" s="3"/>
      <c r="D123" s="3"/>
      <c r="E123" s="3"/>
      <c r="F123" s="3"/>
      <c r="G123" s="3"/>
      <c r="H123" s="3"/>
      <c r="I123" s="3"/>
      <c r="J123" s="3"/>
      <c r="K123" s="3"/>
      <c r="L123" s="3"/>
      <c r="M123" s="3"/>
      <c r="N123" s="3"/>
      <c r="O123" s="3"/>
      <c r="P123" s="3"/>
      <c r="Q123" s="3"/>
      <c r="R123" s="840"/>
      <c r="S123" s="840"/>
      <c r="T123" s="840"/>
      <c r="U123" s="840"/>
    </row>
    <row r="124" spans="1:21">
      <c r="A124" s="3"/>
      <c r="B124" s="3"/>
      <c r="C124" s="3"/>
      <c r="D124" s="3"/>
      <c r="E124" s="3"/>
      <c r="F124" s="3"/>
      <c r="G124" s="3"/>
      <c r="H124" s="3"/>
      <c r="I124" s="3"/>
      <c r="J124" s="3"/>
      <c r="K124" s="3"/>
      <c r="L124" s="3"/>
      <c r="M124" s="3"/>
      <c r="N124" s="3"/>
      <c r="O124" s="3"/>
      <c r="P124" s="3"/>
      <c r="Q124" s="3"/>
      <c r="R124" s="840"/>
      <c r="S124" s="840"/>
      <c r="T124" s="840"/>
      <c r="U124" s="840"/>
    </row>
  </sheetData>
  <phoneticPr fontId="26" type="noConversion"/>
  <conditionalFormatting sqref="F11">
    <cfRule type="colorScale" priority="3">
      <colorScale>
        <cfvo type="formula" val="&quot;&gt;10&quot;"/>
        <cfvo type="formula" val="&quot;&lt;10&quot;"/>
        <color theme="6"/>
        <color rgb="FFFF0000"/>
      </colorScale>
    </cfRule>
  </conditionalFormatting>
  <pageMargins left="0.75" right="0.75" top="1" bottom="1" header="0.5" footer="0.5"/>
  <pageSetup paperSize="9" orientation="portrait" horizontalDpi="4294967293" verticalDpi="4294967293"/>
  <headerFooter alignWithMargins="0"/>
  <drawing r:id="rId1"/>
  <legacy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7">
    <tabColor indexed="47"/>
  </sheetPr>
  <dimension ref="A1"/>
  <sheetViews>
    <sheetView zoomScale="150" zoomScaleNormal="150" workbookViewId="0">
      <selection activeCell="P31" sqref="P31"/>
    </sheetView>
  </sheetViews>
  <sheetFormatPr defaultColWidth="8.81640625" defaultRowHeight="12.5"/>
  <sheetData/>
  <phoneticPr fontId="26" type="noConversion"/>
  <pageMargins left="0.75" right="0.75" top="1" bottom="1" header="0.5" footer="0.5"/>
  <headerFooter alignWithMargins="0"/>
  <drawing r:id="rId1"/>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8">
    <tabColor indexed="47"/>
  </sheetPr>
  <dimension ref="A1:S150"/>
  <sheetViews>
    <sheetView topLeftCell="A67" zoomScale="150" zoomScaleNormal="150" workbookViewId="0">
      <selection activeCell="H101" sqref="H101"/>
    </sheetView>
  </sheetViews>
  <sheetFormatPr defaultColWidth="8.81640625" defaultRowHeight="12.5"/>
  <cols>
    <col min="3" max="3" width="9.54296875" customWidth="1"/>
    <col min="11" max="11" width="12.81640625" customWidth="1"/>
    <col min="12" max="12" width="10.453125" customWidth="1"/>
    <col min="13" max="13" width="13.453125" customWidth="1"/>
  </cols>
  <sheetData>
    <row r="1" spans="1:19" ht="18.5" thickBot="1">
      <c r="A1" s="125" t="s">
        <v>562</v>
      </c>
      <c r="B1" s="127"/>
      <c r="C1" s="127"/>
      <c r="D1" s="127"/>
      <c r="E1" s="127"/>
      <c r="F1" s="127"/>
      <c r="G1" s="127"/>
      <c r="H1" s="127"/>
      <c r="I1" s="127"/>
      <c r="J1" s="127"/>
      <c r="K1" s="127"/>
      <c r="L1" s="127"/>
      <c r="M1" s="127"/>
      <c r="N1" s="127"/>
      <c r="O1" s="127"/>
      <c r="P1" s="127"/>
      <c r="Q1" s="127"/>
      <c r="R1" s="127"/>
      <c r="S1" s="127"/>
    </row>
    <row r="2" spans="1:19">
      <c r="A2" s="3"/>
      <c r="B2" s="101"/>
      <c r="C2" s="101"/>
      <c r="D2" s="101"/>
      <c r="E2" s="3"/>
      <c r="F2" s="3"/>
      <c r="G2" s="3"/>
      <c r="H2" s="3"/>
      <c r="I2" s="3"/>
      <c r="J2" s="3"/>
      <c r="K2" s="3"/>
      <c r="L2" s="3"/>
      <c r="M2" s="3"/>
      <c r="N2" s="3"/>
      <c r="O2" s="3"/>
      <c r="P2" s="3"/>
      <c r="Q2" s="3"/>
      <c r="R2" s="3"/>
      <c r="S2" s="3"/>
    </row>
    <row r="3" spans="1:19">
      <c r="A3" s="3"/>
      <c r="B3" s="3"/>
      <c r="C3" s="3"/>
      <c r="D3" s="3"/>
      <c r="E3" s="3"/>
      <c r="F3" s="3"/>
      <c r="G3" s="3"/>
      <c r="H3" s="3"/>
      <c r="I3" s="3"/>
      <c r="J3" s="3"/>
      <c r="K3" s="3"/>
      <c r="L3" s="3"/>
      <c r="M3" s="3"/>
      <c r="N3" s="3"/>
      <c r="O3" s="3"/>
      <c r="P3" s="3"/>
      <c r="Q3" s="3"/>
      <c r="R3" s="3"/>
      <c r="S3" s="3"/>
    </row>
    <row r="4" spans="1:19">
      <c r="A4" s="3"/>
      <c r="B4" s="345" t="s">
        <v>250</v>
      </c>
      <c r="C4" s="3"/>
      <c r="D4" s="3"/>
      <c r="E4" s="3"/>
      <c r="F4" s="3"/>
      <c r="G4" s="3"/>
      <c r="H4" s="3"/>
      <c r="I4" s="3"/>
      <c r="J4" s="3"/>
      <c r="K4" s="3"/>
      <c r="L4" s="3"/>
      <c r="M4" s="3"/>
      <c r="N4" s="3"/>
      <c r="O4" s="3"/>
      <c r="P4" s="3"/>
      <c r="Q4" s="3"/>
      <c r="R4" s="3"/>
      <c r="S4" s="3"/>
    </row>
    <row r="5" spans="1:19">
      <c r="A5" s="3"/>
      <c r="B5" s="3"/>
      <c r="C5" s="3"/>
      <c r="D5" s="3"/>
      <c r="E5" s="3"/>
      <c r="F5" s="3"/>
      <c r="G5" s="3"/>
      <c r="H5" s="3"/>
      <c r="I5" s="3"/>
      <c r="J5" s="3"/>
      <c r="K5" s="3"/>
      <c r="L5" s="3"/>
      <c r="M5" s="3"/>
      <c r="N5" s="3"/>
      <c r="O5" s="3"/>
      <c r="P5" s="3"/>
      <c r="Q5" s="3"/>
      <c r="R5" s="3"/>
      <c r="S5" s="3"/>
    </row>
    <row r="6" spans="1:19">
      <c r="A6" s="3"/>
      <c r="B6" s="3"/>
      <c r="C6" s="3"/>
      <c r="D6" s="3"/>
      <c r="E6" s="3"/>
      <c r="F6" s="3"/>
      <c r="G6" s="3"/>
      <c r="H6" s="3"/>
      <c r="I6" s="3"/>
      <c r="J6" s="3"/>
      <c r="K6" s="3"/>
      <c r="L6" s="3"/>
      <c r="M6" s="3"/>
      <c r="N6" s="3"/>
      <c r="O6" s="3"/>
      <c r="P6" s="3"/>
      <c r="Q6" s="3"/>
      <c r="R6" s="3"/>
      <c r="S6" s="3"/>
    </row>
    <row r="7" spans="1:19" ht="13">
      <c r="A7" s="3"/>
      <c r="B7" s="247" t="s">
        <v>444</v>
      </c>
      <c r="C7" s="189"/>
      <c r="D7" s="190"/>
      <c r="E7" s="3"/>
      <c r="F7" s="3"/>
      <c r="G7" s="3"/>
      <c r="H7" s="3"/>
      <c r="I7" s="3"/>
      <c r="J7" s="3"/>
      <c r="K7" s="3"/>
      <c r="L7" s="3"/>
      <c r="M7" s="3"/>
      <c r="N7" s="3"/>
      <c r="O7" s="3"/>
      <c r="P7" s="3"/>
      <c r="Q7" s="3"/>
      <c r="R7" s="3"/>
      <c r="S7" s="3"/>
    </row>
    <row r="8" spans="1:19">
      <c r="A8" s="3"/>
      <c r="B8" s="3"/>
      <c r="C8" s="3"/>
      <c r="D8" s="3"/>
      <c r="E8" s="3"/>
      <c r="F8" s="3"/>
      <c r="G8" s="3"/>
      <c r="H8" s="3"/>
      <c r="I8" s="3"/>
      <c r="J8" s="3"/>
      <c r="K8" s="3"/>
      <c r="L8" s="3"/>
      <c r="M8" s="3"/>
      <c r="N8" s="3"/>
      <c r="O8" s="3"/>
      <c r="P8" s="3"/>
      <c r="Q8" s="3"/>
      <c r="R8" s="3"/>
      <c r="S8" s="3"/>
    </row>
    <row r="9" spans="1:19">
      <c r="A9" s="3"/>
      <c r="B9" s="3"/>
      <c r="C9" s="3"/>
      <c r="D9" s="3"/>
      <c r="E9" s="3"/>
      <c r="F9" s="3"/>
      <c r="G9" s="3"/>
      <c r="H9" s="3"/>
      <c r="I9" s="3"/>
      <c r="J9" s="3"/>
      <c r="K9" s="3"/>
      <c r="L9" s="3"/>
      <c r="M9" s="3"/>
      <c r="N9" s="3"/>
      <c r="O9" s="3"/>
      <c r="P9" s="3"/>
      <c r="Q9" s="3"/>
      <c r="R9" s="3"/>
      <c r="S9" s="3"/>
    </row>
    <row r="10" spans="1:19" ht="13">
      <c r="A10" s="3"/>
      <c r="B10" s="3"/>
      <c r="C10" s="4" t="s">
        <v>445</v>
      </c>
      <c r="D10" s="3"/>
      <c r="E10" s="3"/>
      <c r="F10" s="3"/>
      <c r="G10" s="525" t="s">
        <v>448</v>
      </c>
      <c r="H10" s="3"/>
      <c r="I10" s="3"/>
      <c r="J10" s="3"/>
      <c r="K10" s="3"/>
      <c r="L10" s="3"/>
      <c r="M10" s="3"/>
      <c r="N10" s="3"/>
      <c r="O10" s="3"/>
      <c r="P10" s="3"/>
      <c r="Q10" s="3"/>
      <c r="R10" s="3"/>
      <c r="S10" s="3"/>
    </row>
    <row r="11" spans="1:19">
      <c r="A11" s="3"/>
      <c r="B11" s="3"/>
      <c r="C11" s="3"/>
      <c r="D11" s="3"/>
      <c r="E11" s="3"/>
      <c r="F11" s="3"/>
      <c r="G11" s="3"/>
      <c r="H11" s="3"/>
      <c r="I11" s="3"/>
      <c r="J11" s="3"/>
      <c r="K11" s="3"/>
      <c r="L11" s="3"/>
      <c r="M11" s="3"/>
      <c r="N11" s="3"/>
      <c r="O11" s="3"/>
      <c r="P11" s="3"/>
      <c r="Q11" s="3"/>
      <c r="R11" s="3"/>
      <c r="S11" s="3"/>
    </row>
    <row r="12" spans="1:19">
      <c r="A12" s="3"/>
      <c r="B12" s="3"/>
      <c r="C12" s="3"/>
      <c r="D12" s="3"/>
      <c r="E12" s="3"/>
      <c r="F12" s="3"/>
      <c r="G12" s="3"/>
      <c r="H12" s="3"/>
      <c r="I12" s="3"/>
      <c r="J12" s="3"/>
      <c r="K12" s="3"/>
      <c r="L12" s="3"/>
      <c r="M12" s="3"/>
      <c r="N12" s="3"/>
      <c r="O12" s="3"/>
      <c r="P12" s="3"/>
      <c r="Q12" s="3"/>
      <c r="R12" s="3"/>
      <c r="S12" s="3"/>
    </row>
    <row r="13" spans="1:19" ht="13">
      <c r="A13" s="3"/>
      <c r="B13" s="3"/>
      <c r="C13" s="4" t="s">
        <v>447</v>
      </c>
      <c r="D13" s="3"/>
      <c r="E13" s="3"/>
      <c r="F13" s="3"/>
      <c r="G13" s="525" t="s">
        <v>446</v>
      </c>
      <c r="H13" s="3"/>
      <c r="I13" s="3"/>
      <c r="J13" s="3"/>
      <c r="K13" s="3"/>
      <c r="L13" s="3"/>
      <c r="M13" s="3"/>
      <c r="N13" s="3"/>
      <c r="O13" s="3"/>
      <c r="P13" s="3"/>
      <c r="Q13" s="3"/>
      <c r="R13" s="3"/>
      <c r="S13" s="3"/>
    </row>
    <row r="14" spans="1:19">
      <c r="A14" s="3"/>
      <c r="B14" s="3"/>
      <c r="C14" s="3"/>
      <c r="D14" s="3"/>
      <c r="E14" s="3"/>
      <c r="F14" s="3"/>
      <c r="G14" s="3"/>
      <c r="H14" s="3"/>
      <c r="I14" s="3"/>
      <c r="J14" s="3"/>
      <c r="K14" s="3"/>
      <c r="L14" s="3"/>
      <c r="M14" s="3"/>
      <c r="N14" s="3"/>
      <c r="O14" s="3"/>
      <c r="P14" s="3"/>
      <c r="Q14" s="3"/>
      <c r="R14" s="3"/>
      <c r="S14" s="3"/>
    </row>
    <row r="15" spans="1:19">
      <c r="A15" s="3"/>
      <c r="B15" s="3"/>
      <c r="C15" s="3"/>
      <c r="D15" s="3"/>
      <c r="E15" s="3"/>
      <c r="F15" s="3"/>
      <c r="G15" s="3"/>
      <c r="H15" s="3"/>
      <c r="I15" s="3"/>
      <c r="J15" s="3"/>
      <c r="K15" s="3"/>
      <c r="L15" s="3"/>
      <c r="M15" s="3"/>
      <c r="N15" s="3"/>
      <c r="O15" s="3"/>
      <c r="P15" s="3"/>
      <c r="Q15" s="3"/>
      <c r="R15" s="3"/>
      <c r="S15" s="3"/>
    </row>
    <row r="16" spans="1:19" ht="13">
      <c r="A16" s="3"/>
      <c r="B16" s="3"/>
      <c r="C16" s="4" t="s">
        <v>449</v>
      </c>
      <c r="D16" s="3"/>
      <c r="E16" s="3"/>
      <c r="F16" s="3"/>
      <c r="G16" s="3"/>
      <c r="H16" s="3"/>
      <c r="I16" s="3"/>
      <c r="J16" s="3"/>
      <c r="K16" s="3"/>
      <c r="L16" s="3"/>
      <c r="M16" s="3"/>
      <c r="N16" s="3"/>
      <c r="O16" s="3"/>
      <c r="P16" s="3"/>
      <c r="Q16" s="3"/>
      <c r="R16" s="3"/>
      <c r="S16" s="3"/>
    </row>
    <row r="17" spans="1:19">
      <c r="A17" s="3"/>
      <c r="B17" s="3"/>
      <c r="C17" s="3"/>
      <c r="D17" s="3"/>
      <c r="E17" s="3"/>
      <c r="F17" s="3"/>
      <c r="G17" s="525" t="s">
        <v>450</v>
      </c>
      <c r="H17" s="3"/>
      <c r="I17" s="3"/>
      <c r="J17" s="3"/>
      <c r="K17" s="3"/>
      <c r="L17" s="3"/>
      <c r="M17" s="3"/>
      <c r="N17" s="3"/>
      <c r="O17" s="3"/>
      <c r="P17" s="3"/>
      <c r="Q17" s="3"/>
      <c r="R17" s="3"/>
      <c r="S17" s="3"/>
    </row>
    <row r="18" spans="1:19">
      <c r="A18" s="3"/>
      <c r="B18" s="3"/>
      <c r="C18" s="3"/>
      <c r="D18" s="3"/>
      <c r="E18" s="3"/>
      <c r="F18" s="3"/>
      <c r="G18" s="3"/>
      <c r="H18" s="3"/>
      <c r="I18" s="3"/>
      <c r="J18" s="3"/>
      <c r="K18" s="3"/>
      <c r="L18" s="3"/>
      <c r="M18" s="3"/>
      <c r="N18" s="3"/>
      <c r="O18" s="3"/>
      <c r="P18" s="3"/>
      <c r="Q18" s="3"/>
      <c r="R18" s="3"/>
      <c r="S18" s="3"/>
    </row>
    <row r="19" spans="1:19">
      <c r="A19" s="3"/>
      <c r="B19" s="3"/>
      <c r="C19" s="3"/>
      <c r="D19" s="3"/>
      <c r="E19" s="3"/>
      <c r="F19" s="3"/>
      <c r="G19" s="525" t="s">
        <v>451</v>
      </c>
      <c r="H19" s="3"/>
      <c r="I19" s="3"/>
      <c r="J19" s="3"/>
      <c r="K19" s="3"/>
      <c r="L19" s="3"/>
      <c r="M19" s="3"/>
      <c r="N19" s="3"/>
      <c r="O19" s="3"/>
      <c r="P19" s="3"/>
      <c r="Q19" s="3"/>
      <c r="R19" s="3"/>
      <c r="S19" s="3"/>
    </row>
    <row r="20" spans="1:19">
      <c r="A20" s="3"/>
      <c r="B20" s="3"/>
      <c r="C20" s="3"/>
      <c r="D20" s="3"/>
      <c r="E20" s="3"/>
      <c r="F20" s="3"/>
      <c r="G20" s="525"/>
      <c r="H20" s="3"/>
      <c r="I20" s="3"/>
      <c r="J20" s="3"/>
      <c r="K20" s="3"/>
      <c r="L20" s="3"/>
      <c r="M20" s="3"/>
      <c r="N20" s="3"/>
      <c r="O20" s="3"/>
      <c r="P20" s="3"/>
      <c r="Q20" s="3"/>
      <c r="R20" s="3"/>
      <c r="S20" s="3"/>
    </row>
    <row r="21" spans="1:19">
      <c r="A21" s="3"/>
      <c r="B21" s="3"/>
      <c r="C21" s="3"/>
      <c r="D21" s="3"/>
      <c r="E21" s="3"/>
      <c r="F21" s="3"/>
      <c r="G21" s="3"/>
      <c r="H21" s="3"/>
      <c r="I21" s="3"/>
      <c r="J21" s="3"/>
      <c r="K21" s="3"/>
      <c r="L21" s="3"/>
      <c r="M21" s="3"/>
      <c r="N21" s="3"/>
      <c r="O21" s="3"/>
      <c r="P21" s="3"/>
      <c r="Q21" s="3"/>
      <c r="R21" s="3"/>
      <c r="S21" s="3"/>
    </row>
    <row r="22" spans="1:19" ht="13">
      <c r="A22" s="3"/>
      <c r="B22" s="3"/>
      <c r="C22" s="4" t="s">
        <v>452</v>
      </c>
      <c r="D22" s="3"/>
      <c r="E22" s="3"/>
      <c r="F22" s="3"/>
      <c r="G22" s="525" t="s">
        <v>561</v>
      </c>
      <c r="H22" s="3"/>
      <c r="I22" s="3"/>
      <c r="J22" s="3"/>
      <c r="K22" s="3"/>
      <c r="L22" s="3"/>
      <c r="M22" s="3"/>
      <c r="N22" s="3"/>
      <c r="O22" s="3"/>
      <c r="P22" s="3"/>
      <c r="Q22" s="3"/>
      <c r="R22" s="3"/>
      <c r="S22" s="3"/>
    </row>
    <row r="23" spans="1:19">
      <c r="A23" s="3"/>
      <c r="B23" s="3"/>
      <c r="C23" s="3"/>
      <c r="D23" s="3"/>
      <c r="E23" s="3"/>
      <c r="F23" s="3"/>
      <c r="G23" s="3"/>
      <c r="H23" s="3"/>
      <c r="I23" s="3"/>
      <c r="J23" s="3"/>
      <c r="K23" s="3"/>
      <c r="L23" s="3"/>
      <c r="M23" s="3"/>
      <c r="N23" s="3"/>
      <c r="O23" s="3"/>
      <c r="P23" s="3"/>
      <c r="Q23" s="3"/>
      <c r="R23" s="3"/>
      <c r="S23" s="3"/>
    </row>
    <row r="24" spans="1:19" ht="13">
      <c r="A24" s="3"/>
      <c r="B24" s="3"/>
      <c r="C24" s="4" t="s">
        <v>559</v>
      </c>
      <c r="D24" s="3"/>
      <c r="E24" s="3"/>
      <c r="F24" s="3"/>
      <c r="G24" s="525" t="s">
        <v>560</v>
      </c>
      <c r="H24" s="3"/>
      <c r="I24" s="3"/>
      <c r="J24" s="3"/>
      <c r="K24" s="3"/>
      <c r="L24" s="3"/>
      <c r="M24" s="3"/>
      <c r="N24" s="3"/>
      <c r="O24" s="3"/>
      <c r="P24" s="3"/>
      <c r="Q24" s="3"/>
      <c r="R24" s="3"/>
      <c r="S24" s="3"/>
    </row>
    <row r="25" spans="1:19">
      <c r="A25" s="3"/>
      <c r="B25" s="3"/>
      <c r="C25" s="3"/>
      <c r="D25" s="3"/>
      <c r="E25" s="3"/>
      <c r="F25" s="3"/>
      <c r="G25" s="3"/>
      <c r="H25" s="3"/>
      <c r="I25" s="3"/>
      <c r="J25" s="3"/>
      <c r="K25" s="3"/>
      <c r="L25" s="3"/>
      <c r="M25" s="3"/>
      <c r="N25" s="3"/>
      <c r="O25" s="3"/>
      <c r="P25" s="3"/>
      <c r="Q25" s="3"/>
      <c r="R25" s="3"/>
      <c r="S25" s="3"/>
    </row>
    <row r="26" spans="1:19">
      <c r="A26" s="3"/>
      <c r="B26" s="3"/>
      <c r="C26" s="3"/>
      <c r="D26" s="3"/>
      <c r="E26" s="3"/>
      <c r="F26" s="3"/>
      <c r="G26" s="3"/>
      <c r="H26" s="3"/>
      <c r="I26" s="3"/>
      <c r="J26" s="3"/>
      <c r="K26" s="3"/>
      <c r="L26" s="3"/>
      <c r="M26" s="3"/>
      <c r="N26" s="3"/>
      <c r="O26" s="3"/>
      <c r="P26" s="3"/>
      <c r="Q26" s="3"/>
      <c r="R26" s="3"/>
      <c r="S26" s="3"/>
    </row>
    <row r="27" spans="1:19">
      <c r="A27" s="3"/>
      <c r="B27" s="3"/>
      <c r="C27" s="3"/>
      <c r="D27" s="3"/>
      <c r="E27" s="3"/>
      <c r="F27" s="3"/>
      <c r="G27" s="3"/>
      <c r="H27" s="3"/>
      <c r="I27" s="3"/>
      <c r="J27" s="3"/>
      <c r="K27" s="3"/>
      <c r="L27" s="3"/>
      <c r="M27" s="3"/>
      <c r="N27" s="3"/>
      <c r="O27" s="3"/>
      <c r="P27" s="3"/>
      <c r="Q27" s="3"/>
      <c r="R27" s="3"/>
      <c r="S27" s="3"/>
    </row>
    <row r="28" spans="1:19" ht="13">
      <c r="A28" s="3"/>
      <c r="B28" s="247" t="s">
        <v>453</v>
      </c>
      <c r="C28" s="248"/>
      <c r="D28" s="3"/>
      <c r="E28" s="3"/>
      <c r="F28" s="3"/>
      <c r="G28" s="3"/>
      <c r="H28" s="3"/>
      <c r="I28" s="3"/>
      <c r="J28" s="3"/>
      <c r="K28" s="3"/>
      <c r="L28" s="3"/>
      <c r="M28" s="3"/>
      <c r="N28" s="3"/>
      <c r="O28" s="3"/>
      <c r="P28" s="3"/>
      <c r="Q28" s="3"/>
      <c r="R28" s="3"/>
      <c r="S28" s="3"/>
    </row>
    <row r="29" spans="1:19">
      <c r="A29" s="3"/>
      <c r="B29" s="3"/>
      <c r="C29" s="3"/>
      <c r="D29" s="3"/>
      <c r="E29" s="3"/>
      <c r="F29" s="3"/>
      <c r="G29" s="3"/>
      <c r="H29" s="3"/>
      <c r="I29" s="3"/>
      <c r="J29" s="3"/>
      <c r="K29" s="3"/>
      <c r="L29" s="3"/>
      <c r="M29" s="3"/>
      <c r="N29" s="3"/>
      <c r="O29" s="3"/>
      <c r="P29" s="3"/>
      <c r="Q29" s="3"/>
      <c r="R29" s="3"/>
      <c r="S29" s="3"/>
    </row>
    <row r="30" spans="1:19" ht="13" thickBot="1">
      <c r="A30" s="3"/>
      <c r="B30" s="3"/>
      <c r="C30" s="3"/>
      <c r="D30" s="3"/>
      <c r="E30" s="3"/>
      <c r="F30" s="3"/>
      <c r="G30" s="3"/>
      <c r="H30" s="3"/>
      <c r="I30" s="3"/>
      <c r="J30" s="3"/>
      <c r="K30" s="3"/>
      <c r="L30" s="3"/>
      <c r="M30" s="3"/>
      <c r="N30" s="3"/>
      <c r="O30" s="3"/>
      <c r="P30" s="3"/>
      <c r="Q30" s="3"/>
      <c r="R30" s="3"/>
      <c r="S30" s="3"/>
    </row>
    <row r="31" spans="1:19" ht="13">
      <c r="A31" s="3"/>
      <c r="B31" s="524" t="s">
        <v>473</v>
      </c>
      <c r="C31" s="501"/>
      <c r="D31" s="501"/>
      <c r="E31" s="501"/>
      <c r="F31" s="501"/>
      <c r="G31" s="501"/>
      <c r="H31" s="501"/>
      <c r="I31" s="501"/>
      <c r="J31" s="501"/>
      <c r="K31" s="501"/>
      <c r="L31" s="501"/>
      <c r="M31" s="502"/>
      <c r="N31" s="3"/>
      <c r="O31" s="3"/>
      <c r="P31" s="3"/>
      <c r="Q31" s="3"/>
      <c r="R31" s="3"/>
      <c r="S31" s="3"/>
    </row>
    <row r="32" spans="1:19">
      <c r="A32" s="3"/>
      <c r="B32" s="503"/>
      <c r="C32" s="141" t="s">
        <v>199</v>
      </c>
      <c r="D32" s="141"/>
      <c r="E32" s="141"/>
      <c r="F32" s="141"/>
      <c r="G32" s="141"/>
      <c r="H32" s="141"/>
      <c r="I32" s="141"/>
      <c r="J32" s="141"/>
      <c r="K32" s="141"/>
      <c r="L32" s="141"/>
      <c r="M32" s="143"/>
      <c r="N32" s="3"/>
      <c r="O32" s="3"/>
      <c r="P32" s="3"/>
      <c r="Q32" s="3"/>
      <c r="R32" s="3"/>
      <c r="S32" s="3"/>
    </row>
    <row r="33" spans="1:19">
      <c r="A33" s="3"/>
      <c r="B33" s="503"/>
      <c r="C33" s="141" t="s">
        <v>463</v>
      </c>
      <c r="D33" s="141"/>
      <c r="E33" s="141"/>
      <c r="F33" s="141"/>
      <c r="G33" s="141"/>
      <c r="H33" s="141"/>
      <c r="I33" s="141"/>
      <c r="J33" s="141"/>
      <c r="K33" s="141"/>
      <c r="L33" s="141"/>
      <c r="M33" s="143"/>
      <c r="N33" s="3"/>
      <c r="O33" s="3"/>
      <c r="P33" s="3"/>
      <c r="Q33" s="3"/>
      <c r="R33" s="3"/>
      <c r="S33" s="3"/>
    </row>
    <row r="34" spans="1:19" ht="13" thickBot="1">
      <c r="A34" s="3"/>
      <c r="B34" s="504"/>
      <c r="C34" s="146" t="s">
        <v>532</v>
      </c>
      <c r="D34" s="146"/>
      <c r="E34" s="146"/>
      <c r="F34" s="146"/>
      <c r="G34" s="146"/>
      <c r="H34" s="146"/>
      <c r="I34" s="146"/>
      <c r="J34" s="146"/>
      <c r="K34" s="146"/>
      <c r="L34" s="146"/>
      <c r="M34" s="150"/>
      <c r="N34" s="3"/>
      <c r="O34" s="3"/>
      <c r="P34" s="3"/>
      <c r="Q34" s="3"/>
      <c r="R34" s="3"/>
      <c r="S34" s="3"/>
    </row>
    <row r="35" spans="1:19" ht="13">
      <c r="A35" s="3"/>
      <c r="B35" s="519" t="s">
        <v>460</v>
      </c>
      <c r="C35" s="520" t="s">
        <v>459</v>
      </c>
      <c r="D35" s="521"/>
      <c r="E35" s="522" t="s">
        <v>454</v>
      </c>
      <c r="F35" s="521"/>
      <c r="G35" s="521"/>
      <c r="H35" s="520" t="s">
        <v>455</v>
      </c>
      <c r="I35" s="523"/>
      <c r="J35" s="309"/>
      <c r="K35" s="297"/>
      <c r="L35" s="297"/>
      <c r="M35" s="311"/>
      <c r="N35" s="3"/>
      <c r="O35" s="3"/>
      <c r="P35" s="3"/>
      <c r="Q35" s="3"/>
      <c r="R35" s="3"/>
      <c r="S35" s="3"/>
    </row>
    <row r="36" spans="1:19">
      <c r="A36" s="3"/>
      <c r="B36" s="513">
        <v>1</v>
      </c>
      <c r="C36" s="505">
        <v>10</v>
      </c>
      <c r="D36" s="505" t="s">
        <v>754</v>
      </c>
      <c r="E36" s="507">
        <v>12</v>
      </c>
      <c r="F36" s="505" t="s">
        <v>456</v>
      </c>
      <c r="G36" s="505"/>
      <c r="H36" s="508">
        <f>E36/100</f>
        <v>0.12</v>
      </c>
      <c r="I36" s="506" t="s">
        <v>458</v>
      </c>
      <c r="J36" s="309"/>
      <c r="K36" s="297" t="s">
        <v>715</v>
      </c>
      <c r="L36" s="297"/>
      <c r="M36" s="311"/>
      <c r="N36" s="3"/>
      <c r="O36" s="3"/>
      <c r="P36" s="3"/>
      <c r="Q36" s="3"/>
      <c r="R36" s="3"/>
      <c r="S36" s="3"/>
    </row>
    <row r="37" spans="1:19">
      <c r="A37" s="3"/>
      <c r="B37" s="513">
        <v>2</v>
      </c>
      <c r="C37" s="515">
        <v>30</v>
      </c>
      <c r="D37" s="515" t="s">
        <v>754</v>
      </c>
      <c r="E37" s="507">
        <v>17</v>
      </c>
      <c r="F37" s="505" t="s">
        <v>456</v>
      </c>
      <c r="G37" s="505" t="s">
        <v>715</v>
      </c>
      <c r="H37" s="508">
        <f t="shared" ref="H37:H47" si="0">E37/100</f>
        <v>0.17</v>
      </c>
      <c r="I37" s="506" t="s">
        <v>458</v>
      </c>
      <c r="J37" s="309"/>
      <c r="K37" s="297" t="s">
        <v>460</v>
      </c>
      <c r="L37" s="264">
        <v>8</v>
      </c>
      <c r="M37" s="311"/>
      <c r="N37" s="3"/>
      <c r="O37" s="3"/>
      <c r="P37" s="3"/>
      <c r="Q37" s="3"/>
      <c r="R37" s="3"/>
      <c r="S37" s="3"/>
    </row>
    <row r="38" spans="1:19">
      <c r="A38" s="3"/>
      <c r="B38" s="513">
        <v>3</v>
      </c>
      <c r="C38" s="505">
        <v>50</v>
      </c>
      <c r="D38" s="505" t="s">
        <v>754</v>
      </c>
      <c r="E38" s="507" t="s">
        <v>457</v>
      </c>
      <c r="F38" s="505" t="s">
        <v>456</v>
      </c>
      <c r="G38" s="505"/>
      <c r="H38" s="508" t="s">
        <v>457</v>
      </c>
      <c r="I38" s="506" t="s">
        <v>458</v>
      </c>
      <c r="J38" s="309"/>
      <c r="K38" s="297"/>
      <c r="L38" s="297"/>
      <c r="M38" s="311"/>
      <c r="N38" s="3"/>
      <c r="O38" s="3"/>
      <c r="P38" s="3"/>
      <c r="Q38" s="3"/>
      <c r="R38" s="3"/>
      <c r="S38" s="3"/>
    </row>
    <row r="39" spans="1:19">
      <c r="A39" s="3"/>
      <c r="B39" s="513">
        <v>4</v>
      </c>
      <c r="C39" s="505">
        <v>100</v>
      </c>
      <c r="D39" s="505" t="s">
        <v>754</v>
      </c>
      <c r="E39" s="507">
        <v>28</v>
      </c>
      <c r="F39" s="505" t="s">
        <v>456</v>
      </c>
      <c r="G39" s="505"/>
      <c r="H39" s="508">
        <f t="shared" si="0"/>
        <v>0.28000000000000003</v>
      </c>
      <c r="I39" s="506" t="s">
        <v>458</v>
      </c>
      <c r="J39" s="309"/>
      <c r="K39" s="297" t="s">
        <v>753</v>
      </c>
      <c r="L39" s="516">
        <f>INDEX(C36:C48,L37,1)</f>
        <v>435</v>
      </c>
      <c r="M39" s="311"/>
      <c r="N39" s="3"/>
      <c r="O39" s="3"/>
      <c r="P39" s="3"/>
      <c r="Q39" s="3"/>
      <c r="R39" s="3"/>
      <c r="S39" s="3"/>
    </row>
    <row r="40" spans="1:19">
      <c r="A40" s="3"/>
      <c r="B40" s="513">
        <v>5</v>
      </c>
      <c r="C40" s="515">
        <v>145</v>
      </c>
      <c r="D40" s="515" t="s">
        <v>754</v>
      </c>
      <c r="E40" s="507">
        <v>32</v>
      </c>
      <c r="F40" s="505" t="s">
        <v>456</v>
      </c>
      <c r="G40" s="505"/>
      <c r="H40" s="508">
        <f t="shared" si="0"/>
        <v>0.32</v>
      </c>
      <c r="I40" s="506" t="s">
        <v>458</v>
      </c>
      <c r="J40" s="309"/>
      <c r="K40" s="297"/>
      <c r="L40" s="297"/>
      <c r="M40" s="311"/>
      <c r="N40" s="3"/>
      <c r="O40" s="3"/>
      <c r="P40" s="3"/>
      <c r="Q40" s="3"/>
      <c r="R40" s="3"/>
      <c r="S40" s="3"/>
    </row>
    <row r="41" spans="1:19">
      <c r="A41" s="3"/>
      <c r="B41" s="513">
        <v>6</v>
      </c>
      <c r="C41" s="505">
        <v>200</v>
      </c>
      <c r="D41" s="505" t="s">
        <v>754</v>
      </c>
      <c r="E41" s="507">
        <v>40</v>
      </c>
      <c r="F41" s="505" t="s">
        <v>456</v>
      </c>
      <c r="G41" s="505" t="s">
        <v>715</v>
      </c>
      <c r="H41" s="508">
        <f t="shared" si="0"/>
        <v>0.4</v>
      </c>
      <c r="I41" s="506" t="s">
        <v>458</v>
      </c>
      <c r="J41" s="309"/>
      <c r="K41" s="297" t="s">
        <v>461</v>
      </c>
      <c r="L41" s="517">
        <v>0.25</v>
      </c>
      <c r="M41" s="311"/>
      <c r="N41" s="3"/>
      <c r="O41" s="3"/>
      <c r="P41" s="3"/>
      <c r="Q41" s="3"/>
      <c r="R41" s="3"/>
      <c r="S41" s="3"/>
    </row>
    <row r="42" spans="1:19">
      <c r="A42" s="3"/>
      <c r="B42" s="513">
        <v>7</v>
      </c>
      <c r="C42" s="505">
        <v>400</v>
      </c>
      <c r="D42" s="505" t="s">
        <v>754</v>
      </c>
      <c r="E42" s="507" t="s">
        <v>457</v>
      </c>
      <c r="F42" s="505" t="s">
        <v>456</v>
      </c>
      <c r="G42" s="505"/>
      <c r="H42" s="508" t="s">
        <v>457</v>
      </c>
      <c r="I42" s="506" t="s">
        <v>458</v>
      </c>
      <c r="J42" s="309"/>
      <c r="K42" s="297"/>
      <c r="L42" s="297"/>
      <c r="M42" s="311"/>
      <c r="N42" s="3"/>
      <c r="O42" s="3"/>
      <c r="P42" s="3"/>
      <c r="Q42" s="3"/>
      <c r="R42" s="3"/>
      <c r="S42" s="3"/>
    </row>
    <row r="43" spans="1:19">
      <c r="A43" s="3"/>
      <c r="B43" s="513">
        <v>8</v>
      </c>
      <c r="C43" s="515">
        <v>435</v>
      </c>
      <c r="D43" s="515" t="s">
        <v>754</v>
      </c>
      <c r="E43" s="507">
        <v>58</v>
      </c>
      <c r="F43" s="505" t="s">
        <v>456</v>
      </c>
      <c r="G43" s="505"/>
      <c r="H43" s="508">
        <f t="shared" si="0"/>
        <v>0.57999999999999996</v>
      </c>
      <c r="I43" s="506" t="s">
        <v>458</v>
      </c>
      <c r="J43" s="309"/>
      <c r="K43" s="297" t="s">
        <v>462</v>
      </c>
      <c r="L43" s="518">
        <f>(INDEX(H36:H48,L37,1))*L41</f>
        <v>0.14499999999999999</v>
      </c>
      <c r="M43" s="311"/>
      <c r="N43" s="3"/>
      <c r="O43" s="3"/>
      <c r="P43" s="3"/>
      <c r="Q43" s="3"/>
      <c r="R43" s="3"/>
      <c r="S43" s="3"/>
    </row>
    <row r="44" spans="1:19">
      <c r="A44" s="3"/>
      <c r="B44" s="513">
        <v>9</v>
      </c>
      <c r="C44" s="505">
        <v>500</v>
      </c>
      <c r="D44" s="505" t="s">
        <v>754</v>
      </c>
      <c r="E44" s="507">
        <v>68</v>
      </c>
      <c r="F44" s="505" t="s">
        <v>456</v>
      </c>
      <c r="G44" s="505"/>
      <c r="H44" s="508">
        <f t="shared" si="0"/>
        <v>0.68</v>
      </c>
      <c r="I44" s="506" t="s">
        <v>458</v>
      </c>
      <c r="J44" s="309"/>
      <c r="K44" s="297"/>
      <c r="L44" s="297"/>
      <c r="M44" s="311"/>
      <c r="N44" s="3"/>
      <c r="O44" s="3"/>
      <c r="P44" s="3"/>
      <c r="Q44" s="3"/>
      <c r="R44" s="3"/>
      <c r="S44" s="3"/>
    </row>
    <row r="45" spans="1:19">
      <c r="A45" s="3"/>
      <c r="B45" s="513">
        <v>10</v>
      </c>
      <c r="C45" s="515">
        <v>1270</v>
      </c>
      <c r="D45" s="515" t="s">
        <v>754</v>
      </c>
      <c r="E45" s="507">
        <v>113</v>
      </c>
      <c r="F45" s="505" t="s">
        <v>456</v>
      </c>
      <c r="G45" s="505"/>
      <c r="H45" s="508">
        <f t="shared" si="0"/>
        <v>1.1299999999999999</v>
      </c>
      <c r="I45" s="506" t="s">
        <v>458</v>
      </c>
      <c r="J45" s="309"/>
      <c r="K45" s="297"/>
      <c r="L45" s="297"/>
      <c r="M45" s="311"/>
      <c r="N45" s="3"/>
      <c r="O45" s="3"/>
      <c r="P45" s="3"/>
      <c r="Q45" s="3"/>
      <c r="R45" s="3"/>
      <c r="S45" s="3"/>
    </row>
    <row r="46" spans="1:19">
      <c r="A46" s="3"/>
      <c r="B46" s="513">
        <v>11</v>
      </c>
      <c r="C46" s="515">
        <v>2400</v>
      </c>
      <c r="D46" s="515" t="s">
        <v>754</v>
      </c>
      <c r="E46" s="507">
        <v>165</v>
      </c>
      <c r="F46" s="505" t="s">
        <v>456</v>
      </c>
      <c r="G46" s="505"/>
      <c r="H46" s="508">
        <f t="shared" si="0"/>
        <v>1.65</v>
      </c>
      <c r="I46" s="506" t="s">
        <v>458</v>
      </c>
      <c r="J46" s="309"/>
      <c r="K46" s="297"/>
      <c r="L46" s="345" t="s">
        <v>140</v>
      </c>
      <c r="M46" s="311"/>
      <c r="N46" s="3"/>
      <c r="O46" s="3"/>
      <c r="P46" s="3"/>
      <c r="Q46" s="3"/>
      <c r="R46" s="3"/>
      <c r="S46" s="3"/>
    </row>
    <row r="47" spans="1:19">
      <c r="A47" s="3"/>
      <c r="B47" s="513">
        <v>12</v>
      </c>
      <c r="C47" s="505">
        <v>3300</v>
      </c>
      <c r="D47" s="505" t="s">
        <v>754</v>
      </c>
      <c r="E47" s="507">
        <v>268</v>
      </c>
      <c r="F47" s="505" t="s">
        <v>456</v>
      </c>
      <c r="G47" s="505"/>
      <c r="H47" s="508">
        <f t="shared" si="0"/>
        <v>2.68</v>
      </c>
      <c r="I47" s="506" t="s">
        <v>458</v>
      </c>
      <c r="J47" s="309"/>
      <c r="K47" s="297"/>
      <c r="L47" s="297"/>
      <c r="M47" s="311"/>
      <c r="N47" s="3"/>
      <c r="O47" s="3"/>
      <c r="P47" s="3"/>
      <c r="Q47" s="3"/>
      <c r="R47" s="3"/>
      <c r="S47" s="3"/>
    </row>
    <row r="48" spans="1:19" ht="13" thickBot="1">
      <c r="A48" s="3"/>
      <c r="B48" s="514">
        <v>13</v>
      </c>
      <c r="C48" s="509">
        <v>5000</v>
      </c>
      <c r="D48" s="509" t="s">
        <v>754</v>
      </c>
      <c r="E48" s="510" t="s">
        <v>457</v>
      </c>
      <c r="F48" s="509" t="s">
        <v>456</v>
      </c>
      <c r="G48" s="509"/>
      <c r="H48" s="511" t="s">
        <v>457</v>
      </c>
      <c r="I48" s="512" t="s">
        <v>458</v>
      </c>
      <c r="J48" s="312" t="s">
        <v>535</v>
      </c>
      <c r="K48" s="313"/>
      <c r="L48" s="313"/>
      <c r="M48" s="314"/>
      <c r="N48" s="3"/>
      <c r="O48" s="3"/>
      <c r="P48" s="3"/>
      <c r="Q48" s="3"/>
      <c r="R48" s="3"/>
      <c r="S48" s="3"/>
    </row>
    <row r="49" spans="1:19">
      <c r="A49" s="3"/>
      <c r="B49" s="3"/>
      <c r="C49" s="3"/>
      <c r="D49" s="3"/>
      <c r="E49" s="3"/>
      <c r="F49" s="3"/>
      <c r="G49" s="3"/>
      <c r="H49" s="3"/>
      <c r="I49" s="3"/>
      <c r="J49" s="3"/>
      <c r="K49" s="3"/>
      <c r="L49" s="3"/>
      <c r="M49" s="3"/>
      <c r="N49" s="3"/>
      <c r="O49" s="3"/>
      <c r="P49" s="3"/>
      <c r="Q49" s="3"/>
      <c r="R49" s="3"/>
      <c r="S49" s="3"/>
    </row>
    <row r="50" spans="1:19">
      <c r="A50" s="3"/>
      <c r="B50" s="3"/>
      <c r="C50" s="3"/>
      <c r="D50" s="3"/>
      <c r="E50" s="3"/>
      <c r="F50" s="3"/>
      <c r="G50" s="3"/>
      <c r="H50" s="3"/>
      <c r="I50" s="3"/>
      <c r="J50" s="3"/>
      <c r="K50" s="3"/>
      <c r="L50" s="3" t="s">
        <v>715</v>
      </c>
      <c r="M50" s="3"/>
      <c r="N50" s="3"/>
      <c r="O50" s="3"/>
      <c r="P50" s="3"/>
      <c r="Q50" s="3"/>
      <c r="R50" s="3"/>
      <c r="S50" s="3"/>
    </row>
    <row r="51" spans="1:19" ht="13" thickBot="1">
      <c r="A51" s="3"/>
      <c r="B51" s="3"/>
      <c r="C51" s="3"/>
      <c r="D51" s="3"/>
      <c r="E51" s="3"/>
      <c r="F51" s="3"/>
      <c r="G51" s="3"/>
      <c r="H51" s="3"/>
      <c r="I51" s="3"/>
      <c r="J51" s="3"/>
      <c r="K51" s="3"/>
      <c r="L51" s="3"/>
      <c r="M51" s="3"/>
      <c r="N51" s="3"/>
      <c r="O51" s="3"/>
      <c r="P51" s="3"/>
      <c r="Q51" s="3"/>
      <c r="R51" s="3"/>
      <c r="S51" s="3"/>
    </row>
    <row r="52" spans="1:19" ht="13">
      <c r="A52" s="3"/>
      <c r="B52" s="524" t="s">
        <v>536</v>
      </c>
      <c r="C52" s="501"/>
      <c r="D52" s="501"/>
      <c r="E52" s="501"/>
      <c r="F52" s="501"/>
      <c r="G52" s="501"/>
      <c r="H52" s="501"/>
      <c r="I52" s="501"/>
      <c r="J52" s="501"/>
      <c r="K52" s="501"/>
      <c r="L52" s="501"/>
      <c r="M52" s="502"/>
      <c r="N52" s="3"/>
      <c r="O52" s="3"/>
      <c r="P52" s="3"/>
      <c r="Q52" s="3"/>
      <c r="R52" s="3"/>
      <c r="S52" s="3"/>
    </row>
    <row r="53" spans="1:19">
      <c r="A53" s="3"/>
      <c r="B53" s="503"/>
      <c r="C53" s="141" t="s">
        <v>476</v>
      </c>
      <c r="D53" s="141"/>
      <c r="E53" s="141"/>
      <c r="F53" s="141"/>
      <c r="G53" s="141"/>
      <c r="H53" s="141"/>
      <c r="I53" s="141"/>
      <c r="J53" s="141"/>
      <c r="K53" s="141"/>
      <c r="L53" s="141"/>
      <c r="M53" s="143"/>
      <c r="N53" s="3"/>
      <c r="O53" s="3"/>
      <c r="P53" s="3"/>
      <c r="Q53" s="3"/>
      <c r="R53" s="3"/>
      <c r="S53" s="3"/>
    </row>
    <row r="54" spans="1:19">
      <c r="A54" s="3"/>
      <c r="B54" s="503"/>
      <c r="C54" s="141" t="s">
        <v>530</v>
      </c>
      <c r="D54" s="141"/>
      <c r="E54" s="141"/>
      <c r="F54" s="141"/>
      <c r="G54" s="141"/>
      <c r="H54" s="141"/>
      <c r="I54" s="141"/>
      <c r="J54" s="141"/>
      <c r="K54" s="141"/>
      <c r="L54" s="141"/>
      <c r="M54" s="143"/>
      <c r="N54" s="3"/>
      <c r="O54" s="3"/>
      <c r="P54" s="3"/>
      <c r="Q54" s="3"/>
      <c r="R54" s="3"/>
      <c r="S54" s="3"/>
    </row>
    <row r="55" spans="1:19" ht="13" thickBot="1">
      <c r="A55" s="3"/>
      <c r="B55" s="504"/>
      <c r="C55" s="146" t="s">
        <v>533</v>
      </c>
      <c r="D55" s="146"/>
      <c r="E55" s="146"/>
      <c r="F55" s="146"/>
      <c r="G55" s="146"/>
      <c r="H55" s="146"/>
      <c r="I55" s="146"/>
      <c r="J55" s="146"/>
      <c r="K55" s="146"/>
      <c r="L55" s="146"/>
      <c r="M55" s="150"/>
      <c r="N55" s="3"/>
      <c r="O55" s="3"/>
      <c r="P55" s="3"/>
      <c r="Q55" s="3"/>
      <c r="R55" s="3"/>
      <c r="S55" s="3"/>
    </row>
    <row r="56" spans="1:19" ht="13">
      <c r="A56" s="3"/>
      <c r="B56" s="519" t="s">
        <v>460</v>
      </c>
      <c r="C56" s="520" t="s">
        <v>459</v>
      </c>
      <c r="D56" s="521"/>
      <c r="E56" s="522" t="s">
        <v>454</v>
      </c>
      <c r="F56" s="521"/>
      <c r="G56" s="521"/>
      <c r="H56" s="520" t="s">
        <v>455</v>
      </c>
      <c r="I56" s="523"/>
      <c r="J56" s="309"/>
      <c r="K56" s="297"/>
      <c r="L56" s="297"/>
      <c r="M56" s="311"/>
      <c r="N56" s="3"/>
      <c r="O56" s="3"/>
      <c r="P56" s="3"/>
      <c r="Q56" s="3"/>
      <c r="R56" s="3"/>
      <c r="S56" s="3"/>
    </row>
    <row r="57" spans="1:19">
      <c r="A57" s="3"/>
      <c r="B57" s="513">
        <v>1</v>
      </c>
      <c r="C57" s="505">
        <v>10</v>
      </c>
      <c r="D57" s="505" t="s">
        <v>754</v>
      </c>
      <c r="E57" s="507">
        <v>7</v>
      </c>
      <c r="F57" s="505" t="s">
        <v>456</v>
      </c>
      <c r="G57" s="505"/>
      <c r="H57" s="508">
        <f>E57/100</f>
        <v>7.0000000000000007E-2</v>
      </c>
      <c r="I57" s="506" t="s">
        <v>458</v>
      </c>
      <c r="J57" s="309"/>
      <c r="K57" s="297" t="s">
        <v>715</v>
      </c>
      <c r="L57" s="297"/>
      <c r="M57" s="311"/>
      <c r="N57" s="3"/>
      <c r="O57" s="3"/>
      <c r="P57" s="3"/>
      <c r="Q57" s="3"/>
      <c r="R57" s="3"/>
      <c r="S57" s="3"/>
    </row>
    <row r="58" spans="1:19">
      <c r="A58" s="3"/>
      <c r="B58" s="513">
        <v>2</v>
      </c>
      <c r="C58" s="515">
        <v>30</v>
      </c>
      <c r="D58" s="515" t="s">
        <v>754</v>
      </c>
      <c r="E58" s="507">
        <v>9</v>
      </c>
      <c r="F58" s="505" t="s">
        <v>456</v>
      </c>
      <c r="G58" s="505" t="s">
        <v>715</v>
      </c>
      <c r="H58" s="508">
        <f>E58/100</f>
        <v>0.09</v>
      </c>
      <c r="I58" s="506" t="s">
        <v>458</v>
      </c>
      <c r="J58" s="309"/>
      <c r="K58" s="297" t="s">
        <v>460</v>
      </c>
      <c r="L58" s="264">
        <v>10</v>
      </c>
      <c r="M58" s="311"/>
      <c r="N58" s="3"/>
      <c r="O58" s="3"/>
      <c r="P58" s="3"/>
      <c r="Q58" s="3"/>
      <c r="R58" s="3"/>
      <c r="S58" s="3"/>
    </row>
    <row r="59" spans="1:19">
      <c r="A59" s="3"/>
      <c r="B59" s="513">
        <v>3</v>
      </c>
      <c r="C59" s="505">
        <v>50</v>
      </c>
      <c r="D59" s="505" t="s">
        <v>754</v>
      </c>
      <c r="E59" s="507" t="s">
        <v>457</v>
      </c>
      <c r="F59" s="505" t="s">
        <v>456</v>
      </c>
      <c r="G59" s="505"/>
      <c r="H59" s="508" t="s">
        <v>457</v>
      </c>
      <c r="I59" s="506" t="s">
        <v>458</v>
      </c>
      <c r="J59" s="309"/>
      <c r="K59" s="297"/>
      <c r="L59" s="297"/>
      <c r="M59" s="311"/>
      <c r="N59" s="3"/>
      <c r="O59" s="3"/>
      <c r="P59" s="3"/>
      <c r="Q59" s="3"/>
      <c r="R59" s="3"/>
      <c r="S59" s="3"/>
    </row>
    <row r="60" spans="1:19">
      <c r="A60" s="3"/>
      <c r="B60" s="513">
        <v>4</v>
      </c>
      <c r="C60" s="505">
        <v>100</v>
      </c>
      <c r="D60" s="505" t="s">
        <v>754</v>
      </c>
      <c r="E60" s="507">
        <v>14</v>
      </c>
      <c r="F60" s="505" t="s">
        <v>456</v>
      </c>
      <c r="G60" s="505"/>
      <c r="H60" s="508">
        <f t="shared" ref="H60:H69" si="1">E60/100</f>
        <v>0.14000000000000001</v>
      </c>
      <c r="I60" s="506" t="s">
        <v>458</v>
      </c>
      <c r="J60" s="309"/>
      <c r="K60" s="297" t="s">
        <v>753</v>
      </c>
      <c r="L60" s="516">
        <f>INDEX(C57:C69,L58,1)</f>
        <v>1270</v>
      </c>
      <c r="M60" s="311"/>
      <c r="N60" s="3"/>
      <c r="O60" s="3"/>
      <c r="P60" s="3"/>
      <c r="Q60" s="3"/>
      <c r="R60" s="3"/>
      <c r="S60" s="3"/>
    </row>
    <row r="61" spans="1:19">
      <c r="A61" s="3"/>
      <c r="B61" s="513">
        <v>5</v>
      </c>
      <c r="C61" s="515">
        <v>145</v>
      </c>
      <c r="D61" s="515" t="s">
        <v>754</v>
      </c>
      <c r="E61" s="507">
        <v>15</v>
      </c>
      <c r="F61" s="505" t="s">
        <v>456</v>
      </c>
      <c r="G61" s="505"/>
      <c r="H61" s="508">
        <f t="shared" si="1"/>
        <v>0.15</v>
      </c>
      <c r="I61" s="506" t="s">
        <v>458</v>
      </c>
      <c r="J61" s="309"/>
      <c r="K61" s="297"/>
      <c r="L61" s="297"/>
      <c r="M61" s="311"/>
      <c r="N61" s="3"/>
      <c r="O61" s="3"/>
      <c r="P61" s="3"/>
      <c r="Q61" s="3"/>
      <c r="R61" s="3"/>
      <c r="S61" s="3"/>
    </row>
    <row r="62" spans="1:19">
      <c r="A62" s="3"/>
      <c r="B62" s="513">
        <v>6</v>
      </c>
      <c r="C62" s="505">
        <v>200</v>
      </c>
      <c r="D62" s="505" t="s">
        <v>754</v>
      </c>
      <c r="E62" s="507">
        <v>20</v>
      </c>
      <c r="F62" s="505" t="s">
        <v>456</v>
      </c>
      <c r="G62" s="505" t="s">
        <v>715</v>
      </c>
      <c r="H62" s="508">
        <f t="shared" si="1"/>
        <v>0.2</v>
      </c>
      <c r="I62" s="506" t="s">
        <v>458</v>
      </c>
      <c r="J62" s="309"/>
      <c r="K62" s="297" t="s">
        <v>461</v>
      </c>
      <c r="L62" s="517">
        <v>0.75</v>
      </c>
      <c r="M62" s="311"/>
      <c r="N62" s="3"/>
      <c r="O62" s="3"/>
      <c r="P62" s="3"/>
      <c r="Q62" s="3"/>
      <c r="R62" s="3"/>
      <c r="S62" s="3"/>
    </row>
    <row r="63" spans="1:19">
      <c r="A63" s="3"/>
      <c r="B63" s="513">
        <v>7</v>
      </c>
      <c r="C63" s="505">
        <v>400</v>
      </c>
      <c r="D63" s="505" t="s">
        <v>754</v>
      </c>
      <c r="E63" s="507">
        <v>28</v>
      </c>
      <c r="F63" s="505" t="s">
        <v>456</v>
      </c>
      <c r="G63" s="505"/>
      <c r="H63" s="508">
        <f t="shared" si="1"/>
        <v>0.28000000000000003</v>
      </c>
      <c r="I63" s="506" t="s">
        <v>458</v>
      </c>
      <c r="J63" s="309"/>
      <c r="K63" s="297"/>
      <c r="L63" s="297"/>
      <c r="M63" s="311"/>
      <c r="N63" s="3"/>
      <c r="O63" s="3"/>
      <c r="P63" s="3"/>
      <c r="Q63" s="3"/>
      <c r="R63" s="3"/>
      <c r="S63" s="3"/>
    </row>
    <row r="64" spans="1:19">
      <c r="A64" s="3"/>
      <c r="B64" s="513">
        <v>8</v>
      </c>
      <c r="C64" s="515">
        <v>435</v>
      </c>
      <c r="D64" s="515" t="s">
        <v>754</v>
      </c>
      <c r="E64" s="507">
        <v>30</v>
      </c>
      <c r="F64" s="505" t="s">
        <v>456</v>
      </c>
      <c r="G64" s="505"/>
      <c r="H64" s="508">
        <f t="shared" si="1"/>
        <v>0.3</v>
      </c>
      <c r="I64" s="506" t="s">
        <v>458</v>
      </c>
      <c r="J64" s="309"/>
      <c r="K64" s="297" t="s">
        <v>462</v>
      </c>
      <c r="L64" s="518">
        <f>(INDEX(H57:H69,L58,1))*L62</f>
        <v>0.36749999999999999</v>
      </c>
      <c r="M64" s="311"/>
      <c r="N64" s="3"/>
      <c r="O64" s="3"/>
      <c r="P64" s="3"/>
      <c r="Q64" s="3"/>
      <c r="R64" s="3"/>
      <c r="S64" s="3"/>
    </row>
    <row r="65" spans="1:19">
      <c r="A65" s="3"/>
      <c r="B65" s="513">
        <v>9</v>
      </c>
      <c r="C65" s="505">
        <v>500</v>
      </c>
      <c r="D65" s="505" t="s">
        <v>754</v>
      </c>
      <c r="E65" s="507">
        <v>35</v>
      </c>
      <c r="F65" s="505" t="s">
        <v>456</v>
      </c>
      <c r="G65" s="505"/>
      <c r="H65" s="508">
        <f t="shared" si="1"/>
        <v>0.35</v>
      </c>
      <c r="I65" s="506" t="s">
        <v>458</v>
      </c>
      <c r="J65" s="309"/>
      <c r="K65" s="297"/>
      <c r="L65" s="297"/>
      <c r="M65" s="311"/>
      <c r="N65" s="3"/>
      <c r="O65" s="3"/>
      <c r="P65" s="3"/>
      <c r="Q65" s="3"/>
      <c r="R65" s="3"/>
      <c r="S65" s="3"/>
    </row>
    <row r="66" spans="1:19">
      <c r="A66" s="3"/>
      <c r="B66" s="513">
        <v>10</v>
      </c>
      <c r="C66" s="515">
        <v>1270</v>
      </c>
      <c r="D66" s="515" t="s">
        <v>754</v>
      </c>
      <c r="E66" s="507">
        <v>49</v>
      </c>
      <c r="F66" s="505" t="s">
        <v>456</v>
      </c>
      <c r="G66" s="505"/>
      <c r="H66" s="508">
        <f t="shared" si="1"/>
        <v>0.49</v>
      </c>
      <c r="I66" s="506" t="s">
        <v>458</v>
      </c>
      <c r="J66" s="309"/>
      <c r="K66" s="297"/>
      <c r="L66" s="297"/>
      <c r="M66" s="311"/>
      <c r="N66" s="3"/>
      <c r="O66" s="3"/>
      <c r="P66" s="3"/>
      <c r="Q66" s="3"/>
      <c r="R66" s="3"/>
      <c r="S66" s="3"/>
    </row>
    <row r="67" spans="1:19">
      <c r="A67" s="3"/>
      <c r="B67" s="513">
        <v>11</v>
      </c>
      <c r="C67" s="515">
        <v>2400</v>
      </c>
      <c r="D67" s="515" t="s">
        <v>754</v>
      </c>
      <c r="E67" s="507">
        <v>72</v>
      </c>
      <c r="F67" s="505" t="s">
        <v>456</v>
      </c>
      <c r="G67" s="505"/>
      <c r="H67" s="508">
        <f t="shared" si="1"/>
        <v>0.72</v>
      </c>
      <c r="I67" s="506" t="s">
        <v>458</v>
      </c>
      <c r="J67" s="309"/>
      <c r="K67" s="297"/>
      <c r="L67" s="345" t="s">
        <v>140</v>
      </c>
      <c r="M67" s="311"/>
      <c r="N67" s="3"/>
      <c r="O67" s="3"/>
      <c r="P67" s="3"/>
      <c r="Q67" s="3"/>
      <c r="R67" s="3"/>
      <c r="S67" s="3"/>
    </row>
    <row r="68" spans="1:19">
      <c r="A68" s="3"/>
      <c r="B68" s="513">
        <v>12</v>
      </c>
      <c r="C68" s="505">
        <v>3300</v>
      </c>
      <c r="D68" s="505" t="s">
        <v>754</v>
      </c>
      <c r="E68" s="507">
        <v>95</v>
      </c>
      <c r="F68" s="505" t="s">
        <v>456</v>
      </c>
      <c r="G68" s="505"/>
      <c r="H68" s="508">
        <f t="shared" si="1"/>
        <v>0.95</v>
      </c>
      <c r="I68" s="506" t="s">
        <v>458</v>
      </c>
      <c r="J68" s="309"/>
      <c r="K68" s="297"/>
      <c r="L68" s="297"/>
      <c r="M68" s="311"/>
      <c r="N68" s="3"/>
      <c r="O68" s="3"/>
      <c r="P68" s="3"/>
      <c r="Q68" s="3"/>
      <c r="R68" s="3"/>
      <c r="S68" s="3"/>
    </row>
    <row r="69" spans="1:19" ht="13" thickBot="1">
      <c r="A69" s="3"/>
      <c r="B69" s="514">
        <v>13</v>
      </c>
      <c r="C69" s="509">
        <v>5000</v>
      </c>
      <c r="D69" s="509" t="s">
        <v>754</v>
      </c>
      <c r="E69" s="510">
        <v>128</v>
      </c>
      <c r="F69" s="509" t="s">
        <v>456</v>
      </c>
      <c r="G69" s="509"/>
      <c r="H69" s="511">
        <f t="shared" si="1"/>
        <v>1.28</v>
      </c>
      <c r="I69" s="512" t="s">
        <v>458</v>
      </c>
      <c r="J69" s="312" t="s">
        <v>534</v>
      </c>
      <c r="K69" s="313"/>
      <c r="L69" s="313"/>
      <c r="M69" s="314"/>
      <c r="N69" s="3"/>
      <c r="O69" s="3"/>
      <c r="P69" s="3"/>
      <c r="Q69" s="3"/>
      <c r="R69" s="3"/>
      <c r="S69" s="3"/>
    </row>
    <row r="70" spans="1:19">
      <c r="A70" s="3"/>
      <c r="B70" s="3"/>
      <c r="C70" s="3"/>
      <c r="D70" s="3"/>
      <c r="E70" s="3"/>
      <c r="F70" s="3"/>
      <c r="G70" s="3"/>
      <c r="H70" s="3"/>
      <c r="I70" s="3"/>
      <c r="J70" s="3"/>
      <c r="K70" s="3"/>
      <c r="L70" s="3"/>
      <c r="M70" s="3"/>
      <c r="N70" s="3"/>
      <c r="O70" s="3"/>
      <c r="P70" s="3"/>
      <c r="Q70" s="3"/>
      <c r="R70" s="3"/>
      <c r="S70" s="3"/>
    </row>
    <row r="71" spans="1:19">
      <c r="A71" s="3" t="s">
        <v>715</v>
      </c>
      <c r="B71" s="3"/>
      <c r="C71" s="3"/>
      <c r="D71" s="3"/>
      <c r="E71" s="3"/>
      <c r="F71" s="3"/>
      <c r="G71" s="3"/>
      <c r="H71" s="3"/>
      <c r="I71" s="3"/>
      <c r="J71" s="3"/>
      <c r="K71" s="3"/>
      <c r="L71" s="3"/>
      <c r="M71" s="3"/>
      <c r="N71" s="3"/>
      <c r="O71" s="3"/>
      <c r="P71" s="3"/>
      <c r="Q71" s="3"/>
      <c r="R71" s="3"/>
      <c r="S71" s="3"/>
    </row>
    <row r="72" spans="1:19" ht="13" thickBot="1">
      <c r="A72" s="3"/>
      <c r="B72" s="3"/>
      <c r="C72" s="3"/>
      <c r="D72" s="3"/>
      <c r="E72" s="3"/>
      <c r="F72" s="3"/>
      <c r="G72" s="3"/>
      <c r="H72" s="3"/>
      <c r="I72" s="3"/>
      <c r="J72" s="3"/>
      <c r="K72" s="3"/>
      <c r="L72" s="3"/>
      <c r="M72" s="3"/>
      <c r="N72" s="3"/>
      <c r="O72" s="3"/>
      <c r="P72" s="3"/>
      <c r="Q72" s="3"/>
      <c r="R72" s="3"/>
      <c r="S72" s="3"/>
    </row>
    <row r="73" spans="1:19" ht="13">
      <c r="A73" s="3"/>
      <c r="B73" s="524" t="s">
        <v>539</v>
      </c>
      <c r="C73" s="501"/>
      <c r="D73" s="501"/>
      <c r="E73" s="501"/>
      <c r="F73" s="501"/>
      <c r="G73" s="501"/>
      <c r="H73" s="501"/>
      <c r="I73" s="501"/>
      <c r="J73" s="501"/>
      <c r="K73" s="501"/>
      <c r="L73" s="501"/>
      <c r="M73" s="502"/>
      <c r="N73" s="3"/>
      <c r="O73" s="3"/>
      <c r="P73" s="3"/>
      <c r="Q73" s="3"/>
      <c r="R73" s="3"/>
      <c r="S73" s="3"/>
    </row>
    <row r="74" spans="1:19">
      <c r="A74" s="3"/>
      <c r="B74" s="503"/>
      <c r="C74" s="141" t="s">
        <v>531</v>
      </c>
      <c r="D74" s="141"/>
      <c r="E74" s="141"/>
      <c r="F74" s="141"/>
      <c r="G74" s="141"/>
      <c r="H74" s="141"/>
      <c r="I74" s="141"/>
      <c r="J74" s="141"/>
      <c r="K74" s="141"/>
      <c r="L74" s="141"/>
      <c r="M74" s="143"/>
      <c r="N74" s="3"/>
      <c r="O74" s="3"/>
      <c r="P74" s="3"/>
      <c r="Q74" s="3"/>
      <c r="R74" s="3"/>
      <c r="S74" s="3"/>
    </row>
    <row r="75" spans="1:19">
      <c r="A75" s="3"/>
      <c r="B75" s="503"/>
      <c r="C75" s="141" t="s">
        <v>198</v>
      </c>
      <c r="D75" s="141"/>
      <c r="E75" s="141"/>
      <c r="F75" s="141"/>
      <c r="G75" s="141"/>
      <c r="H75" s="141"/>
      <c r="I75" s="141"/>
      <c r="J75" s="141"/>
      <c r="K75" s="141"/>
      <c r="L75" s="141"/>
      <c r="M75" s="143"/>
      <c r="N75" s="3"/>
      <c r="O75" s="3"/>
      <c r="P75" s="3"/>
      <c r="Q75" s="3"/>
      <c r="R75" s="3"/>
      <c r="S75" s="3"/>
    </row>
    <row r="76" spans="1:19" ht="13" thickBot="1">
      <c r="A76" s="3"/>
      <c r="B76" s="504"/>
      <c r="C76" s="146" t="s">
        <v>428</v>
      </c>
      <c r="D76" s="146"/>
      <c r="E76" s="146"/>
      <c r="F76" s="146"/>
      <c r="G76" s="146"/>
      <c r="H76" s="146"/>
      <c r="I76" s="146"/>
      <c r="J76" s="146"/>
      <c r="K76" s="146"/>
      <c r="L76" s="146"/>
      <c r="M76" s="150"/>
      <c r="N76" s="3"/>
      <c r="O76" s="3"/>
      <c r="P76" s="3"/>
      <c r="Q76" s="3"/>
      <c r="R76" s="3"/>
      <c r="S76" s="3"/>
    </row>
    <row r="77" spans="1:19" ht="13">
      <c r="A77" s="3"/>
      <c r="B77" s="519" t="s">
        <v>460</v>
      </c>
      <c r="C77" s="520" t="s">
        <v>459</v>
      </c>
      <c r="D77" s="521"/>
      <c r="E77" s="522" t="s">
        <v>454</v>
      </c>
      <c r="F77" s="521"/>
      <c r="G77" s="521"/>
      <c r="H77" s="520" t="s">
        <v>455</v>
      </c>
      <c r="I77" s="523"/>
      <c r="J77" s="309"/>
      <c r="K77" s="297"/>
      <c r="L77" s="297"/>
      <c r="M77" s="311"/>
      <c r="N77" s="3"/>
      <c r="O77" s="3"/>
      <c r="P77" s="3"/>
      <c r="Q77" s="3"/>
      <c r="R77" s="3"/>
      <c r="S77" s="3"/>
    </row>
    <row r="78" spans="1:19">
      <c r="A78" s="3"/>
      <c r="B78" s="513">
        <v>1</v>
      </c>
      <c r="C78" s="505">
        <v>10</v>
      </c>
      <c r="D78" s="505" t="s">
        <v>754</v>
      </c>
      <c r="E78" s="507">
        <v>9.31</v>
      </c>
      <c r="F78" s="505" t="s">
        <v>456</v>
      </c>
      <c r="G78" s="505"/>
      <c r="H78" s="508">
        <f>E78/100</f>
        <v>9.3100000000000002E-2</v>
      </c>
      <c r="I78" s="506" t="s">
        <v>458</v>
      </c>
      <c r="J78" s="309"/>
      <c r="K78" s="297" t="s">
        <v>715</v>
      </c>
      <c r="L78" s="297"/>
      <c r="M78" s="311"/>
      <c r="N78" s="3"/>
      <c r="O78" s="3"/>
      <c r="P78" s="3"/>
      <c r="Q78" s="3"/>
      <c r="R78" s="3"/>
      <c r="S78" s="3"/>
    </row>
    <row r="79" spans="1:19">
      <c r="A79" s="3"/>
      <c r="B79" s="513">
        <v>2</v>
      </c>
      <c r="C79" s="515">
        <v>30</v>
      </c>
      <c r="D79" s="515" t="s">
        <v>754</v>
      </c>
      <c r="E79" s="507">
        <v>12</v>
      </c>
      <c r="F79" s="505" t="s">
        <v>456</v>
      </c>
      <c r="G79" s="505" t="s">
        <v>715</v>
      </c>
      <c r="H79" s="508">
        <f>E79/100</f>
        <v>0.12</v>
      </c>
      <c r="I79" s="506" t="s">
        <v>458</v>
      </c>
      <c r="J79" s="309"/>
      <c r="K79" s="297" t="s">
        <v>460</v>
      </c>
      <c r="L79" s="264">
        <v>11</v>
      </c>
      <c r="M79" s="311"/>
      <c r="N79" s="3"/>
      <c r="O79" s="3"/>
      <c r="P79" s="3"/>
      <c r="Q79" s="3"/>
      <c r="R79" s="3"/>
      <c r="S79" s="3"/>
    </row>
    <row r="80" spans="1:19">
      <c r="A80" s="3"/>
      <c r="B80" s="513">
        <v>3</v>
      </c>
      <c r="C80" s="505">
        <v>50</v>
      </c>
      <c r="D80" s="505" t="s">
        <v>754</v>
      </c>
      <c r="E80" s="507" t="s">
        <v>457</v>
      </c>
      <c r="F80" s="505" t="s">
        <v>456</v>
      </c>
      <c r="G80" s="505"/>
      <c r="H80" s="508" t="s">
        <v>457</v>
      </c>
      <c r="I80" s="506" t="s">
        <v>458</v>
      </c>
      <c r="J80" s="309"/>
      <c r="K80" s="297"/>
      <c r="L80" s="297"/>
      <c r="M80" s="311"/>
      <c r="N80" s="3"/>
      <c r="O80" s="3"/>
      <c r="P80" s="3"/>
      <c r="Q80" s="3"/>
      <c r="R80" s="3"/>
      <c r="S80" s="3"/>
    </row>
    <row r="81" spans="1:19">
      <c r="A81" s="3"/>
      <c r="B81" s="513">
        <v>4</v>
      </c>
      <c r="C81" s="505">
        <v>100</v>
      </c>
      <c r="D81" s="505" t="s">
        <v>754</v>
      </c>
      <c r="E81" s="507">
        <v>18.600000000000001</v>
      </c>
      <c r="F81" s="505" t="s">
        <v>456</v>
      </c>
      <c r="G81" s="505"/>
      <c r="H81" s="508">
        <f t="shared" ref="H81:H90" si="2">E81/100</f>
        <v>0.18600000000000003</v>
      </c>
      <c r="I81" s="506" t="s">
        <v>458</v>
      </c>
      <c r="J81" s="309"/>
      <c r="K81" s="297" t="s">
        <v>753</v>
      </c>
      <c r="L81" s="516">
        <f>INDEX(C78:C90,L79,1)</f>
        <v>2400</v>
      </c>
      <c r="M81" s="311"/>
      <c r="N81" s="3"/>
      <c r="O81" s="3"/>
      <c r="P81" s="3"/>
      <c r="Q81" s="3"/>
      <c r="R81" s="3"/>
      <c r="S81" s="3"/>
    </row>
    <row r="82" spans="1:19">
      <c r="A82" s="3"/>
      <c r="B82" s="513">
        <v>5</v>
      </c>
      <c r="C82" s="515">
        <v>145</v>
      </c>
      <c r="D82" s="515" t="s">
        <v>754</v>
      </c>
      <c r="E82" s="507">
        <v>19.95</v>
      </c>
      <c r="F82" s="505" t="s">
        <v>456</v>
      </c>
      <c r="G82" s="505"/>
      <c r="H82" s="508">
        <f t="shared" si="2"/>
        <v>0.19949999999999998</v>
      </c>
      <c r="I82" s="506" t="s">
        <v>458</v>
      </c>
      <c r="J82" s="309"/>
      <c r="K82" s="297"/>
      <c r="L82" s="297"/>
      <c r="M82" s="311"/>
      <c r="N82" s="3"/>
      <c r="O82" s="3"/>
      <c r="P82" s="3"/>
      <c r="Q82" s="3"/>
      <c r="R82" s="3"/>
      <c r="S82" s="3"/>
    </row>
    <row r="83" spans="1:19">
      <c r="A83" s="3"/>
      <c r="B83" s="513">
        <v>6</v>
      </c>
      <c r="C83" s="505">
        <v>200</v>
      </c>
      <c r="D83" s="505" t="s">
        <v>754</v>
      </c>
      <c r="E83" s="507">
        <v>26.6</v>
      </c>
      <c r="F83" s="505" t="s">
        <v>456</v>
      </c>
      <c r="G83" s="505" t="s">
        <v>715</v>
      </c>
      <c r="H83" s="508">
        <f t="shared" si="2"/>
        <v>0.26600000000000001</v>
      </c>
      <c r="I83" s="506" t="s">
        <v>458</v>
      </c>
      <c r="J83" s="309"/>
      <c r="K83" s="297" t="s">
        <v>461</v>
      </c>
      <c r="L83" s="517">
        <v>0.5</v>
      </c>
      <c r="M83" s="311"/>
      <c r="N83" s="3"/>
      <c r="O83" s="3"/>
      <c r="P83" s="3"/>
      <c r="Q83" s="3"/>
      <c r="R83" s="3"/>
      <c r="S83" s="3"/>
    </row>
    <row r="84" spans="1:19">
      <c r="A84" s="3"/>
      <c r="B84" s="513">
        <v>7</v>
      </c>
      <c r="C84" s="505">
        <v>400</v>
      </c>
      <c r="D84" s="505" t="s">
        <v>754</v>
      </c>
      <c r="E84" s="507">
        <v>37.24</v>
      </c>
      <c r="F84" s="505" t="s">
        <v>456</v>
      </c>
      <c r="G84" s="505"/>
      <c r="H84" s="508">
        <f>E84/100</f>
        <v>0.37240000000000001</v>
      </c>
      <c r="I84" s="506" t="s">
        <v>458</v>
      </c>
      <c r="J84" s="309"/>
      <c r="K84" s="297"/>
      <c r="L84" s="297"/>
      <c r="M84" s="311"/>
      <c r="N84" s="3"/>
      <c r="O84" s="3"/>
      <c r="P84" s="3"/>
      <c r="Q84" s="3"/>
      <c r="R84" s="3"/>
      <c r="S84" s="3"/>
    </row>
    <row r="85" spans="1:19">
      <c r="A85" s="3"/>
      <c r="B85" s="513">
        <v>8</v>
      </c>
      <c r="C85" s="515">
        <v>435</v>
      </c>
      <c r="D85" s="515" t="s">
        <v>754</v>
      </c>
      <c r="E85" s="507">
        <v>40</v>
      </c>
      <c r="F85" s="505" t="s">
        <v>456</v>
      </c>
      <c r="G85" s="505"/>
      <c r="H85" s="508">
        <f t="shared" si="2"/>
        <v>0.4</v>
      </c>
      <c r="I85" s="506" t="s">
        <v>458</v>
      </c>
      <c r="J85" s="309"/>
      <c r="K85" s="297" t="s">
        <v>462</v>
      </c>
      <c r="L85" s="518">
        <f>(INDEX(H78:H90,L79,1))*L83</f>
        <v>0.47875000000000001</v>
      </c>
      <c r="M85" s="311"/>
      <c r="N85" s="3"/>
      <c r="O85" s="3"/>
      <c r="P85" s="3"/>
      <c r="Q85" s="3"/>
      <c r="R85" s="3"/>
      <c r="S85" s="3"/>
    </row>
    <row r="86" spans="1:19">
      <c r="A86" s="3"/>
      <c r="B86" s="513">
        <v>9</v>
      </c>
      <c r="C86" s="505">
        <v>500</v>
      </c>
      <c r="D86" s="505" t="s">
        <v>754</v>
      </c>
      <c r="E86" s="507">
        <v>46.55</v>
      </c>
      <c r="F86" s="505" t="s">
        <v>456</v>
      </c>
      <c r="G86" s="505"/>
      <c r="H86" s="508">
        <f t="shared" si="2"/>
        <v>0.46549999999999997</v>
      </c>
      <c r="I86" s="506" t="s">
        <v>458</v>
      </c>
      <c r="J86" s="309"/>
      <c r="K86" s="297"/>
      <c r="L86" s="297"/>
      <c r="M86" s="311"/>
      <c r="N86" s="3"/>
      <c r="O86" s="3"/>
      <c r="P86" s="3"/>
      <c r="Q86" s="3"/>
      <c r="R86" s="3"/>
      <c r="S86" s="3"/>
    </row>
    <row r="87" spans="1:19">
      <c r="A87" s="3"/>
      <c r="B87" s="513">
        <v>10</v>
      </c>
      <c r="C87" s="515">
        <v>1270</v>
      </c>
      <c r="D87" s="515" t="s">
        <v>754</v>
      </c>
      <c r="E87" s="507">
        <v>65.2</v>
      </c>
      <c r="F87" s="505" t="s">
        <v>456</v>
      </c>
      <c r="G87" s="505"/>
      <c r="H87" s="508">
        <f t="shared" si="2"/>
        <v>0.65200000000000002</v>
      </c>
      <c r="I87" s="506" t="s">
        <v>458</v>
      </c>
      <c r="J87" s="309"/>
      <c r="K87" s="297"/>
      <c r="L87" s="297"/>
      <c r="M87" s="311"/>
      <c r="N87" s="3"/>
      <c r="O87" s="3"/>
      <c r="P87" s="3"/>
      <c r="Q87" s="3"/>
      <c r="R87" s="3"/>
      <c r="S87" s="3"/>
    </row>
    <row r="88" spans="1:19">
      <c r="A88" s="3"/>
      <c r="B88" s="513">
        <v>11</v>
      </c>
      <c r="C88" s="515">
        <v>2400</v>
      </c>
      <c r="D88" s="515" t="s">
        <v>754</v>
      </c>
      <c r="E88" s="507">
        <v>95.75</v>
      </c>
      <c r="F88" s="505" t="s">
        <v>456</v>
      </c>
      <c r="G88" s="505"/>
      <c r="H88" s="508">
        <f t="shared" si="2"/>
        <v>0.95750000000000002</v>
      </c>
      <c r="I88" s="506" t="s">
        <v>458</v>
      </c>
      <c r="J88" s="309"/>
      <c r="K88" s="297"/>
      <c r="L88" s="345" t="s">
        <v>140</v>
      </c>
      <c r="M88" s="311"/>
      <c r="N88" s="3"/>
      <c r="O88" s="3"/>
      <c r="P88" s="3"/>
      <c r="Q88" s="3"/>
      <c r="R88" s="3"/>
      <c r="S88" s="3"/>
    </row>
    <row r="89" spans="1:19">
      <c r="A89" s="3"/>
      <c r="B89" s="513">
        <v>12</v>
      </c>
      <c r="C89" s="505">
        <v>3300</v>
      </c>
      <c r="D89" s="505" t="s">
        <v>754</v>
      </c>
      <c r="E89" s="507">
        <v>126.4</v>
      </c>
      <c r="F89" s="505" t="s">
        <v>456</v>
      </c>
      <c r="G89" s="505"/>
      <c r="H89" s="508">
        <f t="shared" si="2"/>
        <v>1.264</v>
      </c>
      <c r="I89" s="506" t="s">
        <v>458</v>
      </c>
      <c r="J89" s="309"/>
      <c r="K89" s="297"/>
      <c r="L89" s="297"/>
      <c r="M89" s="311"/>
      <c r="N89" s="3"/>
      <c r="O89" s="3"/>
      <c r="P89" s="3"/>
      <c r="Q89" s="3"/>
      <c r="R89" s="3"/>
      <c r="S89" s="3"/>
    </row>
    <row r="90" spans="1:19" ht="13" thickBot="1">
      <c r="A90" s="3"/>
      <c r="B90" s="514">
        <v>13</v>
      </c>
      <c r="C90" s="509">
        <v>5000</v>
      </c>
      <c r="D90" s="509" t="s">
        <v>754</v>
      </c>
      <c r="E90" s="510">
        <v>170.2</v>
      </c>
      <c r="F90" s="509" t="s">
        <v>456</v>
      </c>
      <c r="G90" s="509"/>
      <c r="H90" s="511">
        <f t="shared" si="2"/>
        <v>1.702</v>
      </c>
      <c r="I90" s="512" t="s">
        <v>458</v>
      </c>
      <c r="J90" s="312" t="s">
        <v>537</v>
      </c>
      <c r="K90" s="313"/>
      <c r="L90" s="313"/>
      <c r="M90" s="314"/>
      <c r="N90" s="3"/>
      <c r="O90" s="3"/>
      <c r="P90" s="3"/>
      <c r="Q90" s="3"/>
      <c r="R90" s="3"/>
      <c r="S90" s="3"/>
    </row>
    <row r="91" spans="1:19">
      <c r="A91" s="3"/>
      <c r="B91" s="3"/>
      <c r="C91" s="3"/>
      <c r="D91" s="3"/>
      <c r="E91" s="3"/>
      <c r="F91" s="3"/>
      <c r="G91" s="3"/>
      <c r="H91" s="3"/>
      <c r="I91" s="3"/>
      <c r="J91" s="3"/>
      <c r="K91" s="3"/>
      <c r="L91" s="3"/>
      <c r="M91" s="3"/>
      <c r="N91" s="3"/>
      <c r="O91" s="3"/>
      <c r="P91" s="3"/>
      <c r="Q91" s="3"/>
      <c r="R91" s="3"/>
      <c r="S91" s="3"/>
    </row>
    <row r="92" spans="1:19">
      <c r="A92" s="3"/>
      <c r="B92" s="3"/>
      <c r="C92" s="3"/>
      <c r="D92" s="3"/>
      <c r="E92" s="3"/>
      <c r="F92" s="3"/>
      <c r="G92" s="3"/>
      <c r="H92" s="3"/>
      <c r="I92" s="3"/>
      <c r="J92" s="3"/>
      <c r="K92" s="3"/>
      <c r="L92" s="3"/>
      <c r="M92" s="3"/>
      <c r="N92" s="3"/>
      <c r="O92" s="3"/>
      <c r="P92" s="3"/>
      <c r="Q92" s="3"/>
      <c r="R92" s="3"/>
      <c r="S92" s="3"/>
    </row>
    <row r="93" spans="1:19" ht="13" thickBot="1">
      <c r="A93" s="3"/>
      <c r="B93" s="3"/>
      <c r="C93" s="3"/>
      <c r="D93" s="3"/>
      <c r="E93" s="3"/>
      <c r="F93" s="3"/>
      <c r="G93" s="3"/>
      <c r="H93" s="3"/>
      <c r="I93" s="3"/>
      <c r="J93" s="3"/>
      <c r="K93" s="3"/>
      <c r="L93" s="3"/>
      <c r="M93" s="3"/>
      <c r="N93" s="3" t="s">
        <v>715</v>
      </c>
      <c r="O93" s="3"/>
      <c r="P93" s="3"/>
      <c r="Q93" s="3"/>
      <c r="R93" s="3"/>
      <c r="S93" s="3"/>
    </row>
    <row r="94" spans="1:19" ht="13">
      <c r="A94" s="3"/>
      <c r="B94" s="524" t="s">
        <v>540</v>
      </c>
      <c r="C94" s="501"/>
      <c r="D94" s="501"/>
      <c r="E94" s="501"/>
      <c r="F94" s="501"/>
      <c r="G94" s="501"/>
      <c r="H94" s="501"/>
      <c r="I94" s="501"/>
      <c r="J94" s="501"/>
      <c r="K94" s="501"/>
      <c r="L94" s="501"/>
      <c r="M94" s="502"/>
      <c r="N94" s="3"/>
      <c r="O94" s="3"/>
      <c r="P94" s="3"/>
      <c r="Q94" s="3"/>
      <c r="R94" s="3"/>
      <c r="S94" s="3"/>
    </row>
    <row r="95" spans="1:19">
      <c r="A95" s="3"/>
      <c r="B95" s="503"/>
      <c r="C95" s="141" t="s">
        <v>808</v>
      </c>
      <c r="D95" s="141"/>
      <c r="E95" s="141"/>
      <c r="F95" s="141"/>
      <c r="G95" s="141"/>
      <c r="H95" s="141"/>
      <c r="I95" s="141"/>
      <c r="J95" s="141"/>
      <c r="K95" s="141"/>
      <c r="L95" s="141"/>
      <c r="M95" s="143"/>
      <c r="N95" s="3"/>
      <c r="O95" s="3"/>
      <c r="P95" s="3"/>
      <c r="Q95" s="3"/>
      <c r="R95" s="3"/>
      <c r="S95" s="3"/>
    </row>
    <row r="96" spans="1:19">
      <c r="A96" s="3"/>
      <c r="B96" s="503"/>
      <c r="C96" s="141" t="s">
        <v>544</v>
      </c>
      <c r="D96" s="141"/>
      <c r="E96" s="141"/>
      <c r="F96" s="141"/>
      <c r="G96" s="141"/>
      <c r="H96" s="141"/>
      <c r="I96" s="141"/>
      <c r="J96" s="141"/>
      <c r="K96" s="141"/>
      <c r="L96" s="141"/>
      <c r="M96" s="143"/>
      <c r="N96" s="3"/>
      <c r="O96" s="3"/>
      <c r="P96" s="3"/>
      <c r="Q96" s="3"/>
      <c r="R96" s="3"/>
      <c r="S96" s="3"/>
    </row>
    <row r="97" spans="1:19" ht="13" thickBot="1">
      <c r="A97" s="3"/>
      <c r="B97" s="504"/>
      <c r="C97" s="146" t="s">
        <v>545</v>
      </c>
      <c r="D97" s="146"/>
      <c r="E97" s="146"/>
      <c r="F97" s="146"/>
      <c r="G97" s="146"/>
      <c r="H97" s="146"/>
      <c r="I97" s="146"/>
      <c r="J97" s="146"/>
      <c r="K97" s="146"/>
      <c r="L97" s="146"/>
      <c r="M97" s="150"/>
      <c r="N97" s="3"/>
      <c r="O97" s="3"/>
      <c r="P97" s="3"/>
      <c r="Q97" s="3"/>
      <c r="R97" s="3"/>
      <c r="S97" s="3"/>
    </row>
    <row r="98" spans="1:19" ht="13">
      <c r="A98" s="3"/>
      <c r="B98" s="519" t="s">
        <v>460</v>
      </c>
      <c r="C98" s="520" t="s">
        <v>459</v>
      </c>
      <c r="D98" s="521"/>
      <c r="E98" s="522" t="s">
        <v>454</v>
      </c>
      <c r="F98" s="521"/>
      <c r="G98" s="521"/>
      <c r="H98" s="520" t="s">
        <v>455</v>
      </c>
      <c r="I98" s="521"/>
      <c r="J98" s="530"/>
      <c r="K98" s="307"/>
      <c r="L98" s="307"/>
      <c r="M98" s="308"/>
      <c r="N98" s="3"/>
      <c r="O98" s="3"/>
      <c r="P98" s="3"/>
      <c r="Q98" s="3"/>
      <c r="R98" s="3"/>
      <c r="S98" s="3"/>
    </row>
    <row r="99" spans="1:19">
      <c r="A99" s="3"/>
      <c r="B99" s="513">
        <v>1</v>
      </c>
      <c r="C99" s="515">
        <v>30</v>
      </c>
      <c r="D99" s="515" t="s">
        <v>754</v>
      </c>
      <c r="E99" s="507">
        <v>13</v>
      </c>
      <c r="F99" s="505" t="s">
        <v>456</v>
      </c>
      <c r="G99" s="505" t="s">
        <v>715</v>
      </c>
      <c r="H99" s="508">
        <v>0.13</v>
      </c>
      <c r="I99" s="505" t="s">
        <v>458</v>
      </c>
      <c r="J99" s="309"/>
      <c r="K99" s="297" t="s">
        <v>715</v>
      </c>
      <c r="L99" s="297"/>
      <c r="M99" s="311"/>
      <c r="N99" s="3"/>
      <c r="O99" s="3"/>
      <c r="P99" s="3"/>
      <c r="Q99" s="3"/>
      <c r="R99" s="3"/>
      <c r="S99" s="3"/>
    </row>
    <row r="100" spans="1:19">
      <c r="A100" s="3"/>
      <c r="B100" s="513">
        <v>2</v>
      </c>
      <c r="C100" s="515">
        <v>145</v>
      </c>
      <c r="D100" s="515" t="s">
        <v>754</v>
      </c>
      <c r="E100" s="507">
        <v>25</v>
      </c>
      <c r="F100" s="505" t="s">
        <v>456</v>
      </c>
      <c r="G100" s="505"/>
      <c r="H100" s="508">
        <v>0.25</v>
      </c>
      <c r="I100" s="505" t="s">
        <v>458</v>
      </c>
      <c r="J100" s="309"/>
      <c r="K100" s="297" t="s">
        <v>460</v>
      </c>
      <c r="L100" s="264">
        <v>3</v>
      </c>
      <c r="M100" s="311"/>
      <c r="N100" s="3"/>
      <c r="O100" s="3"/>
      <c r="P100" s="3"/>
      <c r="Q100" s="3"/>
      <c r="R100" s="3"/>
      <c r="S100" s="3"/>
    </row>
    <row r="101" spans="1:19">
      <c r="A101" s="3"/>
      <c r="B101" s="513">
        <v>3</v>
      </c>
      <c r="C101" s="515">
        <v>435</v>
      </c>
      <c r="D101" s="515" t="s">
        <v>754</v>
      </c>
      <c r="E101" s="507">
        <v>33</v>
      </c>
      <c r="F101" s="505" t="s">
        <v>456</v>
      </c>
      <c r="G101" s="505"/>
      <c r="H101" s="508">
        <v>0.33</v>
      </c>
      <c r="I101" s="505" t="s">
        <v>458</v>
      </c>
      <c r="J101" s="309"/>
      <c r="K101" s="297"/>
      <c r="L101" s="297"/>
      <c r="M101" s="311"/>
      <c r="N101" s="3"/>
      <c r="O101" s="3"/>
      <c r="P101" s="3"/>
      <c r="Q101" s="3"/>
      <c r="R101" s="3"/>
      <c r="S101" s="3"/>
    </row>
    <row r="102" spans="1:19">
      <c r="A102" s="3"/>
      <c r="B102" s="513">
        <v>4</v>
      </c>
      <c r="C102" s="515">
        <v>1270</v>
      </c>
      <c r="D102" s="515" t="s">
        <v>754</v>
      </c>
      <c r="E102" s="507">
        <v>53</v>
      </c>
      <c r="F102" s="505" t="s">
        <v>456</v>
      </c>
      <c r="G102" s="505"/>
      <c r="H102" s="508">
        <v>0.53</v>
      </c>
      <c r="I102" s="505" t="s">
        <v>458</v>
      </c>
      <c r="J102" s="309"/>
      <c r="K102" s="297" t="s">
        <v>753</v>
      </c>
      <c r="L102" s="536">
        <f>INDEX(C99:C112,L100,1)</f>
        <v>435</v>
      </c>
      <c r="M102" s="311"/>
      <c r="N102" s="3"/>
      <c r="O102" s="3"/>
      <c r="P102" s="3"/>
      <c r="Q102" s="3"/>
      <c r="R102" s="3"/>
      <c r="S102" s="3"/>
    </row>
    <row r="103" spans="1:19" ht="13">
      <c r="A103" s="3"/>
      <c r="B103" s="513">
        <v>5</v>
      </c>
      <c r="C103" s="505">
        <v>2000</v>
      </c>
      <c r="D103" s="505" t="s">
        <v>754</v>
      </c>
      <c r="E103" s="529">
        <v>88.6</v>
      </c>
      <c r="F103" s="505" t="s">
        <v>456</v>
      </c>
      <c r="G103" s="505"/>
      <c r="H103" s="528">
        <v>0.88600000000000001</v>
      </c>
      <c r="I103" s="505" t="s">
        <v>458</v>
      </c>
      <c r="J103" s="309"/>
      <c r="K103" s="297"/>
      <c r="L103" s="297"/>
      <c r="M103" s="311"/>
      <c r="N103" s="3"/>
      <c r="O103" s="3"/>
      <c r="P103" s="3"/>
      <c r="Q103" s="3"/>
      <c r="R103" s="3"/>
      <c r="S103" s="3"/>
    </row>
    <row r="104" spans="1:19">
      <c r="A104" s="3"/>
      <c r="B104" s="513">
        <v>6</v>
      </c>
      <c r="C104" s="515">
        <v>2400</v>
      </c>
      <c r="D104" s="515" t="s">
        <v>754</v>
      </c>
      <c r="E104" s="507">
        <v>96</v>
      </c>
      <c r="F104" s="505" t="s">
        <v>456</v>
      </c>
      <c r="G104" s="505"/>
      <c r="H104" s="508">
        <v>0.96</v>
      </c>
      <c r="I104" s="505" t="s">
        <v>458</v>
      </c>
      <c r="J104" s="309"/>
      <c r="K104" s="297" t="s">
        <v>461</v>
      </c>
      <c r="L104" s="517">
        <v>0.5</v>
      </c>
      <c r="M104" s="311"/>
      <c r="N104" s="3"/>
      <c r="O104" s="3"/>
      <c r="P104" s="3"/>
      <c r="Q104" s="3"/>
      <c r="R104" s="3"/>
      <c r="S104" s="3"/>
    </row>
    <row r="105" spans="1:19" ht="13">
      <c r="A105" s="3"/>
      <c r="B105" s="513">
        <v>7</v>
      </c>
      <c r="C105" s="535">
        <v>10000</v>
      </c>
      <c r="D105" s="505" t="s">
        <v>754</v>
      </c>
      <c r="E105" s="529">
        <v>200.1</v>
      </c>
      <c r="F105" s="505" t="s">
        <v>456</v>
      </c>
      <c r="G105" s="505"/>
      <c r="H105" s="528">
        <v>2.0009999999999999</v>
      </c>
      <c r="I105" s="505" t="s">
        <v>458</v>
      </c>
      <c r="J105" s="309"/>
      <c r="K105" s="297"/>
      <c r="L105" s="297"/>
      <c r="M105" s="311"/>
      <c r="N105" s="3"/>
      <c r="O105" s="3"/>
      <c r="P105" s="3"/>
      <c r="Q105" s="3"/>
      <c r="R105" s="3"/>
      <c r="S105" s="3"/>
    </row>
    <row r="106" spans="1:19" ht="13">
      <c r="A106" s="3"/>
      <c r="B106" s="513">
        <v>8</v>
      </c>
      <c r="C106" s="535">
        <v>18000</v>
      </c>
      <c r="D106" s="505" t="s">
        <v>754</v>
      </c>
      <c r="E106" s="529">
        <v>275.5</v>
      </c>
      <c r="F106" s="505" t="s">
        <v>456</v>
      </c>
      <c r="G106" s="505"/>
      <c r="H106" s="528">
        <v>2.7549999999999999</v>
      </c>
      <c r="I106" s="505" t="s">
        <v>458</v>
      </c>
      <c r="J106" s="309"/>
      <c r="K106" s="297" t="s">
        <v>462</v>
      </c>
      <c r="L106" s="518">
        <f>(INDEX(H99:H112,L100,1))*L104</f>
        <v>0.16500000000000001</v>
      </c>
      <c r="M106" s="311"/>
      <c r="N106" s="3"/>
      <c r="O106" s="3"/>
      <c r="P106" s="3"/>
      <c r="Q106" s="3"/>
      <c r="R106" s="3"/>
      <c r="S106" s="3"/>
    </row>
    <row r="107" spans="1:19">
      <c r="A107" s="3"/>
      <c r="B107" s="513"/>
      <c r="C107" s="526"/>
      <c r="D107" s="505"/>
      <c r="E107" s="507"/>
      <c r="F107" s="505"/>
      <c r="G107" s="505"/>
      <c r="H107" s="508"/>
      <c r="I107" s="505"/>
      <c r="J107" s="309"/>
      <c r="K107" s="297"/>
      <c r="L107" s="297"/>
      <c r="M107" s="311"/>
      <c r="N107" s="3"/>
      <c r="O107" s="3"/>
      <c r="P107" s="3"/>
      <c r="Q107" s="3"/>
      <c r="R107" s="3"/>
      <c r="S107" s="3"/>
    </row>
    <row r="108" spans="1:19">
      <c r="A108" s="3"/>
      <c r="B108" s="513"/>
      <c r="C108" s="526"/>
      <c r="D108" s="505"/>
      <c r="E108" s="507"/>
      <c r="F108" s="505" t="s">
        <v>715</v>
      </c>
      <c r="G108" s="505"/>
      <c r="H108" s="508"/>
      <c r="I108" s="505"/>
      <c r="J108" s="309"/>
      <c r="K108" s="297"/>
      <c r="L108" s="297"/>
      <c r="M108" s="311"/>
      <c r="N108" s="3" t="s">
        <v>715</v>
      </c>
      <c r="O108" s="3"/>
      <c r="P108" s="3"/>
      <c r="Q108" s="3"/>
      <c r="R108" s="3"/>
      <c r="S108" s="3"/>
    </row>
    <row r="109" spans="1:19">
      <c r="A109" s="3"/>
      <c r="B109" s="513"/>
      <c r="C109" s="526"/>
      <c r="D109" s="505"/>
      <c r="E109" s="507"/>
      <c r="F109" s="505"/>
      <c r="G109" s="505"/>
      <c r="H109" s="508"/>
      <c r="I109" s="505"/>
      <c r="J109" s="309"/>
      <c r="K109" s="297"/>
      <c r="L109" s="297"/>
      <c r="M109" s="311"/>
      <c r="N109" s="3"/>
      <c r="O109" s="3"/>
      <c r="P109" s="3"/>
      <c r="Q109" s="3"/>
      <c r="R109" s="3"/>
      <c r="S109" s="3"/>
    </row>
    <row r="110" spans="1:19">
      <c r="A110" s="3"/>
      <c r="B110" s="513"/>
      <c r="C110" s="526"/>
      <c r="D110" s="505"/>
      <c r="E110" s="507"/>
      <c r="F110" s="505"/>
      <c r="G110" s="505"/>
      <c r="H110" s="508"/>
      <c r="I110" s="505"/>
      <c r="J110" s="309"/>
      <c r="K110" s="297"/>
      <c r="L110" s="345" t="s">
        <v>140</v>
      </c>
      <c r="M110" s="311"/>
      <c r="N110" s="3"/>
      <c r="O110" s="3"/>
      <c r="P110" s="3"/>
      <c r="Q110" s="3"/>
      <c r="R110" s="3"/>
      <c r="S110" s="3"/>
    </row>
    <row r="111" spans="1:19" ht="13">
      <c r="A111" s="3"/>
      <c r="B111" s="513"/>
      <c r="C111" s="526"/>
      <c r="D111" s="505"/>
      <c r="E111" s="507"/>
      <c r="F111" s="505"/>
      <c r="G111" s="505"/>
      <c r="H111" s="508"/>
      <c r="I111" s="505"/>
      <c r="J111" s="309" t="s">
        <v>549</v>
      </c>
      <c r="K111" s="297"/>
      <c r="L111" s="297"/>
      <c r="M111" s="311"/>
      <c r="N111" s="3"/>
      <c r="O111" s="3"/>
      <c r="P111" s="3"/>
      <c r="Q111" s="3"/>
      <c r="R111" s="3"/>
      <c r="S111" s="3"/>
    </row>
    <row r="112" spans="1:19" ht="13" thickBot="1">
      <c r="A112" s="3"/>
      <c r="B112" s="514" t="s">
        <v>715</v>
      </c>
      <c r="C112" s="509" t="s">
        <v>715</v>
      </c>
      <c r="D112" s="509" t="s">
        <v>715</v>
      </c>
      <c r="E112" s="510"/>
      <c r="F112" s="509"/>
      <c r="G112" s="509"/>
      <c r="H112" s="511"/>
      <c r="I112" s="509"/>
      <c r="J112" s="312" t="s">
        <v>546</v>
      </c>
      <c r="K112" s="313"/>
      <c r="L112" s="313"/>
      <c r="M112" s="314"/>
      <c r="N112" s="3"/>
      <c r="O112" s="3"/>
      <c r="P112" s="3"/>
      <c r="Q112" s="3"/>
      <c r="R112" s="3"/>
      <c r="S112" s="3"/>
    </row>
    <row r="113" spans="1:19">
      <c r="A113" s="3"/>
      <c r="B113" s="3"/>
      <c r="C113" s="3"/>
      <c r="D113" s="3"/>
      <c r="E113" s="3"/>
      <c r="F113" s="3"/>
      <c r="G113" s="3"/>
      <c r="H113" s="3"/>
      <c r="I113" s="3"/>
      <c r="J113" s="3"/>
      <c r="K113" s="3"/>
      <c r="L113" s="3"/>
      <c r="M113" s="3"/>
      <c r="N113" s="3"/>
      <c r="O113" s="3"/>
      <c r="P113" s="3"/>
      <c r="Q113" s="3"/>
      <c r="R113" s="3"/>
      <c r="S113" s="3"/>
    </row>
    <row r="114" spans="1:19">
      <c r="A114" s="3"/>
      <c r="B114" s="3" t="s">
        <v>715</v>
      </c>
      <c r="C114" s="3"/>
      <c r="D114" s="3"/>
      <c r="E114" s="3"/>
      <c r="F114" s="3"/>
      <c r="G114" s="3"/>
      <c r="H114" s="3"/>
      <c r="I114" s="3"/>
      <c r="J114" s="3"/>
      <c r="K114" s="3"/>
      <c r="L114" s="3"/>
      <c r="M114" s="3"/>
      <c r="N114" s="3"/>
      <c r="O114" s="3"/>
      <c r="P114" s="3"/>
      <c r="Q114" s="3"/>
      <c r="R114" s="3"/>
      <c r="S114" s="3"/>
    </row>
    <row r="115" spans="1:19" ht="13" thickBot="1">
      <c r="A115" s="3"/>
      <c r="B115" s="3"/>
      <c r="C115" s="3"/>
      <c r="D115" s="3"/>
      <c r="E115" s="3"/>
      <c r="F115" s="3"/>
      <c r="G115" s="3"/>
      <c r="H115" s="3"/>
      <c r="I115" s="3"/>
      <c r="J115" s="3"/>
      <c r="K115" s="3"/>
      <c r="L115" s="3"/>
      <c r="M115" s="3"/>
      <c r="N115" s="3"/>
      <c r="O115" s="3"/>
      <c r="P115" s="3"/>
      <c r="Q115" s="3"/>
      <c r="R115" s="3"/>
      <c r="S115" s="3"/>
    </row>
    <row r="116" spans="1:19" ht="13">
      <c r="A116" s="3"/>
      <c r="B116" s="524" t="s">
        <v>547</v>
      </c>
      <c r="C116" s="501"/>
      <c r="D116" s="501"/>
      <c r="E116" s="501"/>
      <c r="F116" s="501"/>
      <c r="G116" s="501"/>
      <c r="H116" s="501"/>
      <c r="I116" s="501"/>
      <c r="J116" s="501"/>
      <c r="K116" s="501"/>
      <c r="L116" s="501"/>
      <c r="M116" s="502"/>
      <c r="N116" s="3"/>
      <c r="O116" s="3"/>
      <c r="P116" s="3"/>
      <c r="Q116" s="3"/>
      <c r="R116" s="3"/>
      <c r="S116" s="3"/>
    </row>
    <row r="117" spans="1:19">
      <c r="A117" s="3"/>
      <c r="B117" s="503"/>
      <c r="C117" s="141" t="s">
        <v>809</v>
      </c>
      <c r="D117" s="141"/>
      <c r="E117" s="141"/>
      <c r="F117" s="141"/>
      <c r="G117" s="141"/>
      <c r="H117" s="141"/>
      <c r="I117" s="141"/>
      <c r="J117" s="141"/>
      <c r="K117" s="141"/>
      <c r="L117" s="141"/>
      <c r="M117" s="143"/>
      <c r="N117" s="3"/>
      <c r="O117" s="3"/>
      <c r="P117" s="3"/>
      <c r="Q117" s="3"/>
      <c r="R117" s="3"/>
      <c r="S117" s="3"/>
    </row>
    <row r="118" spans="1:19">
      <c r="A118" s="3"/>
      <c r="B118" s="503"/>
      <c r="C118" s="141" t="s">
        <v>548</v>
      </c>
      <c r="D118" s="141"/>
      <c r="E118" s="141"/>
      <c r="F118" s="141"/>
      <c r="G118" s="141"/>
      <c r="H118" s="141"/>
      <c r="I118" s="141"/>
      <c r="J118" s="141"/>
      <c r="K118" s="141"/>
      <c r="L118" s="141"/>
      <c r="M118" s="143"/>
      <c r="N118" s="3"/>
      <c r="O118" s="3"/>
      <c r="P118" s="3"/>
      <c r="Q118" s="3"/>
      <c r="R118" s="3"/>
      <c r="S118" s="3"/>
    </row>
    <row r="119" spans="1:19" ht="13" thickBot="1">
      <c r="A119" s="3"/>
      <c r="B119" s="504"/>
      <c r="C119" s="146" t="s">
        <v>545</v>
      </c>
      <c r="D119" s="146"/>
      <c r="E119" s="146"/>
      <c r="F119" s="146"/>
      <c r="G119" s="146"/>
      <c r="H119" s="146"/>
      <c r="I119" s="146"/>
      <c r="J119" s="146"/>
      <c r="K119" s="146"/>
      <c r="L119" s="146"/>
      <c r="M119" s="150"/>
      <c r="N119" s="3"/>
      <c r="O119" s="3"/>
      <c r="P119" s="3"/>
      <c r="Q119" s="3"/>
      <c r="R119" s="3"/>
      <c r="S119" s="3"/>
    </row>
    <row r="120" spans="1:19" ht="13">
      <c r="A120" s="3"/>
      <c r="B120" s="519" t="s">
        <v>460</v>
      </c>
      <c r="C120" s="520" t="s">
        <v>459</v>
      </c>
      <c r="D120" s="521"/>
      <c r="E120" s="522" t="s">
        <v>454</v>
      </c>
      <c r="F120" s="521"/>
      <c r="G120" s="521"/>
      <c r="H120" s="520" t="s">
        <v>455</v>
      </c>
      <c r="I120" s="521"/>
      <c r="J120" s="530"/>
      <c r="K120" s="307"/>
      <c r="L120" s="307"/>
      <c r="M120" s="308"/>
      <c r="N120" s="3"/>
      <c r="O120" s="3"/>
      <c r="P120" s="3"/>
      <c r="Q120" s="3"/>
      <c r="R120" s="3"/>
      <c r="S120" s="3"/>
    </row>
    <row r="121" spans="1:19">
      <c r="A121" s="3"/>
      <c r="B121" s="513">
        <v>1</v>
      </c>
      <c r="C121" s="515">
        <v>30</v>
      </c>
      <c r="D121" s="515" t="s">
        <v>754</v>
      </c>
      <c r="E121" s="507">
        <v>8</v>
      </c>
      <c r="F121" s="505" t="s">
        <v>456</v>
      </c>
      <c r="G121" s="505" t="s">
        <v>715</v>
      </c>
      <c r="H121" s="508">
        <v>0.08</v>
      </c>
      <c r="I121" s="505" t="s">
        <v>458</v>
      </c>
      <c r="J121" s="309"/>
      <c r="K121" s="297" t="s">
        <v>715</v>
      </c>
      <c r="L121" s="297"/>
      <c r="M121" s="311"/>
      <c r="N121" s="3"/>
      <c r="O121" s="3"/>
      <c r="P121" s="3"/>
      <c r="Q121" s="3"/>
      <c r="R121" s="3"/>
      <c r="S121" s="3"/>
    </row>
    <row r="122" spans="1:19">
      <c r="A122" s="3"/>
      <c r="B122" s="513">
        <v>2</v>
      </c>
      <c r="C122" s="515">
        <v>145</v>
      </c>
      <c r="D122" s="515" t="s">
        <v>754</v>
      </c>
      <c r="E122" s="507">
        <v>15</v>
      </c>
      <c r="F122" s="505" t="s">
        <v>456</v>
      </c>
      <c r="G122" s="505"/>
      <c r="H122" s="508">
        <v>0.15</v>
      </c>
      <c r="I122" s="505" t="s">
        <v>458</v>
      </c>
      <c r="J122" s="309"/>
      <c r="K122" s="297" t="s">
        <v>460</v>
      </c>
      <c r="L122" s="264">
        <v>7</v>
      </c>
      <c r="M122" s="311"/>
      <c r="N122" s="3"/>
      <c r="O122" s="3"/>
      <c r="P122" s="3"/>
      <c r="Q122" s="3"/>
      <c r="R122" s="3"/>
      <c r="S122" s="3"/>
    </row>
    <row r="123" spans="1:19">
      <c r="A123" s="3"/>
      <c r="B123" s="513">
        <v>3</v>
      </c>
      <c r="C123" s="515">
        <v>435</v>
      </c>
      <c r="D123" s="515" t="s">
        <v>754</v>
      </c>
      <c r="E123" s="507">
        <v>24</v>
      </c>
      <c r="F123" s="505" t="s">
        <v>456</v>
      </c>
      <c r="G123" s="505"/>
      <c r="H123" s="508">
        <v>0.24</v>
      </c>
      <c r="I123" s="505" t="s">
        <v>458</v>
      </c>
      <c r="J123" s="309"/>
      <c r="K123" s="297"/>
      <c r="L123" s="297"/>
      <c r="M123" s="311"/>
      <c r="N123" s="3"/>
      <c r="O123" s="3"/>
      <c r="P123" s="3"/>
      <c r="Q123" s="3"/>
      <c r="R123" s="3"/>
      <c r="S123" s="3"/>
    </row>
    <row r="124" spans="1:19">
      <c r="A124" s="3"/>
      <c r="B124" s="513">
        <v>4</v>
      </c>
      <c r="C124" s="515">
        <v>1270</v>
      </c>
      <c r="D124" s="515" t="s">
        <v>754</v>
      </c>
      <c r="E124" s="507">
        <v>57.5</v>
      </c>
      <c r="F124" s="505" t="s">
        <v>456</v>
      </c>
      <c r="G124" s="505"/>
      <c r="H124" s="527">
        <v>0.57499999999999996</v>
      </c>
      <c r="I124" s="505" t="s">
        <v>458</v>
      </c>
      <c r="J124" s="309"/>
      <c r="K124" s="297" t="s">
        <v>753</v>
      </c>
      <c r="L124" s="516">
        <f>INDEX(C121:C134,L122,1)</f>
        <v>10000</v>
      </c>
      <c r="M124" s="311"/>
      <c r="N124" s="3"/>
      <c r="O124" s="3"/>
      <c r="P124" s="3"/>
      <c r="Q124" s="3"/>
      <c r="R124" s="3"/>
      <c r="S124" s="3"/>
    </row>
    <row r="125" spans="1:19" ht="13">
      <c r="A125" s="3"/>
      <c r="B125" s="513">
        <v>5</v>
      </c>
      <c r="C125" s="505">
        <v>2000</v>
      </c>
      <c r="D125" s="505" t="s">
        <v>754</v>
      </c>
      <c r="E125" s="529">
        <v>65.599999999999994</v>
      </c>
      <c r="F125" s="505" t="s">
        <v>456</v>
      </c>
      <c r="G125" s="505"/>
      <c r="H125" s="528">
        <v>0.65600000000000003</v>
      </c>
      <c r="I125" s="505" t="s">
        <v>458</v>
      </c>
      <c r="J125" s="309"/>
      <c r="K125" s="297"/>
      <c r="L125" s="297"/>
      <c r="M125" s="311"/>
      <c r="N125" s="3"/>
      <c r="O125" s="3"/>
      <c r="P125" s="3"/>
      <c r="Q125" s="3"/>
      <c r="R125" s="3"/>
      <c r="S125" s="3"/>
    </row>
    <row r="126" spans="1:19">
      <c r="A126" s="3"/>
      <c r="B126" s="513">
        <v>6</v>
      </c>
      <c r="C126" s="515">
        <v>2400</v>
      </c>
      <c r="D126" s="515" t="s">
        <v>754</v>
      </c>
      <c r="E126" s="507">
        <v>68.5</v>
      </c>
      <c r="F126" s="505" t="s">
        <v>456</v>
      </c>
      <c r="G126" s="505"/>
      <c r="H126" s="527">
        <v>0.68500000000000005</v>
      </c>
      <c r="I126" s="505" t="s">
        <v>458</v>
      </c>
      <c r="J126" s="309"/>
      <c r="K126" s="297" t="s">
        <v>461</v>
      </c>
      <c r="L126" s="517">
        <v>0.5</v>
      </c>
      <c r="M126" s="311"/>
      <c r="N126" s="3"/>
      <c r="O126" s="3"/>
      <c r="P126" s="3"/>
      <c r="Q126" s="3"/>
      <c r="R126" s="3"/>
      <c r="S126" s="3"/>
    </row>
    <row r="127" spans="1:19" ht="13">
      <c r="A127" s="3"/>
      <c r="B127" s="513">
        <v>7</v>
      </c>
      <c r="C127" s="535">
        <v>10000</v>
      </c>
      <c r="D127" s="505" t="s">
        <v>754</v>
      </c>
      <c r="E127" s="529">
        <v>91.8</v>
      </c>
      <c r="F127" s="505" t="s">
        <v>456</v>
      </c>
      <c r="G127" s="505"/>
      <c r="H127" s="528">
        <v>0.91800000000000004</v>
      </c>
      <c r="I127" s="505" t="s">
        <v>458</v>
      </c>
      <c r="J127" s="309"/>
      <c r="K127" s="297"/>
      <c r="L127" s="297"/>
      <c r="M127" s="311"/>
      <c r="N127" s="3"/>
      <c r="O127" s="3"/>
      <c r="P127" s="3"/>
      <c r="Q127" s="3"/>
      <c r="R127" s="3"/>
      <c r="S127" s="3"/>
    </row>
    <row r="128" spans="1:19" ht="13">
      <c r="A128" s="3"/>
      <c r="B128" s="513">
        <v>8</v>
      </c>
      <c r="C128" s="535">
        <v>18000</v>
      </c>
      <c r="D128" s="505" t="s">
        <v>754</v>
      </c>
      <c r="E128" s="529">
        <v>124.6</v>
      </c>
      <c r="F128" s="505" t="s">
        <v>456</v>
      </c>
      <c r="G128" s="505"/>
      <c r="H128" s="528">
        <v>1.246</v>
      </c>
      <c r="I128" s="505" t="s">
        <v>458</v>
      </c>
      <c r="J128" s="309"/>
      <c r="K128" s="297" t="s">
        <v>462</v>
      </c>
      <c r="L128" s="518">
        <f>(INDEX(H121:H134,L122,1))*L126</f>
        <v>0.45900000000000002</v>
      </c>
      <c r="M128" s="311"/>
      <c r="N128" s="3"/>
      <c r="O128" s="3"/>
      <c r="P128" s="3"/>
      <c r="Q128" s="3"/>
      <c r="R128" s="3"/>
      <c r="S128" s="3"/>
    </row>
    <row r="129" spans="1:19">
      <c r="A129" s="3"/>
      <c r="B129" s="513"/>
      <c r="C129" s="526"/>
      <c r="D129" s="505"/>
      <c r="E129" s="507"/>
      <c r="F129" s="505"/>
      <c r="G129" s="505"/>
      <c r="H129" s="508"/>
      <c r="I129" s="505"/>
      <c r="J129" s="309"/>
      <c r="K129" s="297"/>
      <c r="L129" s="297"/>
      <c r="M129" s="311"/>
      <c r="N129" s="3"/>
      <c r="O129" s="3"/>
      <c r="P129" s="3"/>
      <c r="Q129" s="3"/>
      <c r="R129" s="3"/>
      <c r="S129" s="3"/>
    </row>
    <row r="130" spans="1:19">
      <c r="A130" s="3"/>
      <c r="B130" s="513"/>
      <c r="C130" s="526"/>
      <c r="D130" s="505"/>
      <c r="E130" s="507"/>
      <c r="F130" s="505" t="s">
        <v>715</v>
      </c>
      <c r="G130" s="505"/>
      <c r="H130" s="508"/>
      <c r="I130" s="505"/>
      <c r="J130" s="309"/>
      <c r="K130" s="297"/>
      <c r="L130" s="297"/>
      <c r="M130" s="311"/>
      <c r="N130" s="3"/>
      <c r="O130" s="3"/>
      <c r="P130" s="3"/>
      <c r="Q130" s="3"/>
      <c r="R130" s="3"/>
      <c r="S130" s="3"/>
    </row>
    <row r="131" spans="1:19">
      <c r="A131" s="3"/>
      <c r="B131" s="513"/>
      <c r="C131" s="526"/>
      <c r="D131" s="505"/>
      <c r="E131" s="507"/>
      <c r="F131" s="505"/>
      <c r="G131" s="505"/>
      <c r="H131" s="508"/>
      <c r="I131" s="505"/>
      <c r="J131" s="309"/>
      <c r="K131" s="297"/>
      <c r="L131" s="297"/>
      <c r="M131" s="311"/>
      <c r="N131" s="3"/>
      <c r="O131" s="3"/>
      <c r="P131" s="3"/>
      <c r="Q131" s="3"/>
      <c r="R131" s="3"/>
      <c r="S131" s="3"/>
    </row>
    <row r="132" spans="1:19">
      <c r="A132" s="3"/>
      <c r="B132" s="513"/>
      <c r="C132" s="526"/>
      <c r="D132" s="505"/>
      <c r="E132" s="507"/>
      <c r="F132" s="505"/>
      <c r="G132" s="505"/>
      <c r="H132" s="508"/>
      <c r="I132" s="505"/>
      <c r="J132" s="309"/>
      <c r="K132" s="297"/>
      <c r="L132" s="345" t="s">
        <v>140</v>
      </c>
      <c r="M132" s="311"/>
      <c r="N132" s="3"/>
      <c r="O132" s="3"/>
      <c r="P132" s="3"/>
      <c r="Q132" s="3"/>
      <c r="R132" s="3"/>
      <c r="S132" s="3"/>
    </row>
    <row r="133" spans="1:19" ht="13">
      <c r="A133" s="3"/>
      <c r="B133" s="513"/>
      <c r="C133" s="526"/>
      <c r="D133" s="505"/>
      <c r="E133" s="507"/>
      <c r="F133" s="505"/>
      <c r="G133" s="505"/>
      <c r="H133" s="508"/>
      <c r="I133" s="505"/>
      <c r="J133" s="309" t="s">
        <v>550</v>
      </c>
      <c r="K133" s="297"/>
      <c r="L133" s="297"/>
      <c r="M133" s="311"/>
      <c r="N133" s="3"/>
      <c r="O133" s="3"/>
      <c r="P133" s="3"/>
      <c r="Q133" s="3"/>
      <c r="R133" s="3"/>
      <c r="S133" s="3"/>
    </row>
    <row r="134" spans="1:19" ht="13" thickBot="1">
      <c r="A134" s="3"/>
      <c r="B134" s="514" t="s">
        <v>715</v>
      </c>
      <c r="C134" s="509" t="s">
        <v>715</v>
      </c>
      <c r="D134" s="509" t="s">
        <v>715</v>
      </c>
      <c r="E134" s="510"/>
      <c r="F134" s="509"/>
      <c r="G134" s="509"/>
      <c r="H134" s="511"/>
      <c r="I134" s="509"/>
      <c r="J134" s="312" t="s">
        <v>546</v>
      </c>
      <c r="K134" s="313"/>
      <c r="L134" s="313"/>
      <c r="M134" s="314"/>
      <c r="N134" s="3"/>
      <c r="O134" s="3"/>
      <c r="P134" s="3"/>
      <c r="Q134" s="3"/>
      <c r="R134" s="3"/>
      <c r="S134" s="3"/>
    </row>
    <row r="135" spans="1:19">
      <c r="A135" s="3"/>
      <c r="B135" s="3"/>
      <c r="C135" s="3"/>
      <c r="D135" s="3"/>
      <c r="E135" s="3"/>
      <c r="F135" s="3"/>
      <c r="G135" s="3"/>
      <c r="H135" s="3"/>
      <c r="I135" s="3"/>
      <c r="J135" s="3"/>
      <c r="K135" s="3"/>
      <c r="L135" s="3"/>
      <c r="M135" s="3"/>
      <c r="N135" s="3"/>
      <c r="O135" s="3"/>
      <c r="P135" s="3"/>
      <c r="Q135" s="3"/>
      <c r="R135" s="3"/>
      <c r="S135" s="3"/>
    </row>
    <row r="136" spans="1:19">
      <c r="A136" s="3"/>
      <c r="B136" s="3"/>
      <c r="C136" s="3"/>
      <c r="D136" s="3"/>
      <c r="E136" s="3"/>
      <c r="F136" s="3"/>
      <c r="G136" s="3"/>
      <c r="H136" s="3"/>
      <c r="I136" s="3"/>
      <c r="J136" s="3"/>
      <c r="K136" s="3"/>
      <c r="L136" s="3"/>
      <c r="M136" s="3"/>
      <c r="N136" s="3"/>
      <c r="O136" s="3"/>
      <c r="P136" s="3"/>
      <c r="Q136" s="3"/>
      <c r="R136" s="3"/>
      <c r="S136" s="3"/>
    </row>
    <row r="137" spans="1:19">
      <c r="A137" s="3"/>
      <c r="B137" s="3"/>
      <c r="C137" s="3"/>
      <c r="D137" s="3"/>
      <c r="E137" s="3"/>
      <c r="F137" s="3"/>
      <c r="G137" s="3"/>
      <c r="H137" s="3"/>
      <c r="I137" s="3"/>
      <c r="J137" s="3"/>
      <c r="K137" s="3"/>
      <c r="L137" s="3"/>
      <c r="M137" s="3"/>
      <c r="N137" s="3"/>
      <c r="O137" s="3"/>
      <c r="P137" s="3"/>
      <c r="Q137" s="3"/>
      <c r="R137" s="3"/>
      <c r="S137" s="3"/>
    </row>
    <row r="138" spans="1:19">
      <c r="A138" s="3"/>
      <c r="B138" s="3"/>
      <c r="C138" s="3"/>
      <c r="D138" s="3"/>
      <c r="E138" s="3"/>
      <c r="F138" s="3"/>
      <c r="G138" s="3"/>
      <c r="H138" s="3"/>
      <c r="I138" s="3"/>
      <c r="J138" s="3"/>
      <c r="K138" s="3"/>
      <c r="L138" s="3"/>
      <c r="M138" s="3"/>
      <c r="N138" s="3"/>
      <c r="O138" s="3"/>
      <c r="P138" s="3"/>
      <c r="Q138" s="3"/>
      <c r="R138" s="3"/>
      <c r="S138" s="3"/>
    </row>
    <row r="139" spans="1:19">
      <c r="A139" s="3"/>
      <c r="B139" s="3"/>
      <c r="C139" s="3"/>
      <c r="D139" s="3"/>
      <c r="E139" s="3"/>
      <c r="F139" s="3"/>
      <c r="G139" s="3"/>
      <c r="H139" s="3"/>
      <c r="I139" s="3"/>
      <c r="J139" s="3"/>
      <c r="K139" s="3"/>
      <c r="L139" s="3"/>
      <c r="M139" s="3"/>
      <c r="N139" s="3"/>
      <c r="O139" s="3"/>
      <c r="P139" s="3"/>
      <c r="Q139" s="3"/>
      <c r="R139" s="3"/>
      <c r="S139" s="3"/>
    </row>
    <row r="140" spans="1:19">
      <c r="A140" s="3"/>
      <c r="B140" s="3"/>
      <c r="C140" s="3"/>
      <c r="D140" s="3"/>
      <c r="E140" s="3"/>
      <c r="F140" s="3"/>
      <c r="G140" s="3"/>
      <c r="H140" s="3"/>
      <c r="I140" s="3"/>
      <c r="J140" s="3"/>
      <c r="K140" s="3"/>
      <c r="L140" s="3"/>
      <c r="M140" s="3"/>
      <c r="N140" s="3"/>
      <c r="O140" s="3"/>
      <c r="P140" s="3"/>
      <c r="Q140" s="3"/>
      <c r="R140" s="3"/>
      <c r="S140" s="3"/>
    </row>
    <row r="141" spans="1:19">
      <c r="A141" s="3"/>
      <c r="B141" s="3"/>
      <c r="C141" s="3"/>
      <c r="D141" s="3"/>
      <c r="E141" s="3"/>
      <c r="F141" s="3"/>
      <c r="G141" s="3"/>
      <c r="H141" s="3"/>
      <c r="I141" s="3"/>
      <c r="J141" s="3"/>
      <c r="K141" s="3"/>
      <c r="L141" s="3"/>
      <c r="M141" s="3"/>
      <c r="N141" s="3"/>
      <c r="O141" s="3"/>
      <c r="P141" s="3"/>
      <c r="Q141" s="3"/>
      <c r="R141" s="3"/>
      <c r="S141" s="3"/>
    </row>
    <row r="142" spans="1:19">
      <c r="A142" s="3"/>
      <c r="B142" s="3"/>
      <c r="C142" s="3"/>
      <c r="D142" s="3"/>
      <c r="E142" s="3"/>
      <c r="F142" s="3"/>
      <c r="G142" s="3"/>
      <c r="H142" s="3"/>
      <c r="I142" s="3"/>
      <c r="J142" s="3"/>
      <c r="K142" s="3"/>
      <c r="L142" s="3"/>
      <c r="M142" s="3"/>
      <c r="N142" s="3"/>
      <c r="O142" s="3"/>
      <c r="P142" s="3"/>
      <c r="Q142" s="3"/>
      <c r="R142" s="3"/>
      <c r="S142" s="3"/>
    </row>
    <row r="143" spans="1:19">
      <c r="A143" s="3"/>
      <c r="B143" s="3"/>
      <c r="C143" s="3"/>
      <c r="D143" s="3"/>
      <c r="E143" s="3"/>
      <c r="F143" s="3"/>
      <c r="G143" s="3"/>
      <c r="H143" s="3"/>
      <c r="I143" s="3"/>
      <c r="J143" s="3"/>
      <c r="K143" s="3"/>
      <c r="L143" s="3"/>
      <c r="M143" s="3"/>
      <c r="N143" s="3"/>
      <c r="O143" s="3"/>
      <c r="P143" s="3"/>
      <c r="Q143" s="3"/>
      <c r="R143" s="3"/>
      <c r="S143" s="3"/>
    </row>
    <row r="144" spans="1:19">
      <c r="A144" s="3"/>
      <c r="B144" s="3"/>
      <c r="C144" s="3"/>
      <c r="D144" s="3"/>
      <c r="E144" s="3"/>
      <c r="F144" s="3"/>
      <c r="G144" s="3"/>
      <c r="H144" s="3"/>
      <c r="I144" s="3"/>
      <c r="J144" s="3"/>
      <c r="K144" s="3"/>
      <c r="L144" s="3"/>
      <c r="M144" s="3"/>
      <c r="N144" s="3"/>
      <c r="O144" s="3"/>
      <c r="P144" s="3"/>
      <c r="Q144" s="3"/>
      <c r="R144" s="3"/>
      <c r="S144" s="3"/>
    </row>
    <row r="145" spans="1:19">
      <c r="A145" s="3"/>
      <c r="B145" s="3"/>
      <c r="C145" s="3"/>
      <c r="D145" s="3"/>
      <c r="E145" s="3"/>
      <c r="F145" s="3"/>
      <c r="G145" s="3"/>
      <c r="H145" s="3"/>
      <c r="I145" s="3"/>
      <c r="J145" s="3"/>
      <c r="K145" s="3"/>
      <c r="L145" s="3"/>
      <c r="M145" s="3"/>
      <c r="N145" s="3"/>
      <c r="O145" s="3"/>
      <c r="P145" s="3"/>
      <c r="Q145" s="3"/>
      <c r="R145" s="3"/>
      <c r="S145" s="3"/>
    </row>
    <row r="146" spans="1:19">
      <c r="A146" s="3"/>
      <c r="B146" s="3"/>
      <c r="C146" s="3"/>
      <c r="D146" s="3"/>
      <c r="E146" s="3"/>
      <c r="F146" s="3"/>
      <c r="G146" s="3"/>
      <c r="H146" s="3"/>
      <c r="I146" s="3"/>
      <c r="J146" s="3"/>
      <c r="K146" s="3"/>
      <c r="L146" s="3"/>
      <c r="M146" s="3"/>
      <c r="N146" s="3"/>
      <c r="O146" s="3"/>
      <c r="P146" s="3"/>
      <c r="Q146" s="3"/>
      <c r="R146" s="3"/>
      <c r="S146" s="3"/>
    </row>
    <row r="147" spans="1:19">
      <c r="A147" s="3"/>
      <c r="B147" s="3"/>
      <c r="C147" s="3"/>
      <c r="D147" s="3"/>
      <c r="E147" s="3"/>
      <c r="F147" s="3"/>
      <c r="G147" s="3"/>
      <c r="H147" s="3"/>
      <c r="I147" s="3"/>
      <c r="J147" s="3"/>
      <c r="K147" s="3"/>
      <c r="L147" s="3"/>
      <c r="M147" s="3"/>
      <c r="N147" s="3"/>
      <c r="O147" s="3"/>
      <c r="P147" s="3"/>
      <c r="Q147" s="3"/>
      <c r="R147" s="3"/>
      <c r="S147" s="3"/>
    </row>
    <row r="148" spans="1:19">
      <c r="A148" s="3"/>
      <c r="B148" s="3"/>
      <c r="C148" s="3"/>
      <c r="D148" s="3"/>
      <c r="E148" s="3"/>
      <c r="F148" s="3"/>
      <c r="G148" s="3"/>
      <c r="H148" s="3"/>
      <c r="I148" s="3"/>
      <c r="J148" s="3"/>
      <c r="K148" s="3"/>
      <c r="L148" s="3"/>
      <c r="M148" s="3"/>
      <c r="N148" s="3"/>
      <c r="O148" s="3"/>
      <c r="P148" s="3"/>
      <c r="Q148" s="3"/>
      <c r="R148" s="3"/>
      <c r="S148" s="3"/>
    </row>
    <row r="149" spans="1:19">
      <c r="A149" s="3"/>
      <c r="B149" s="3"/>
      <c r="C149" s="3"/>
      <c r="D149" s="3"/>
      <c r="E149" s="3"/>
      <c r="F149" s="3"/>
      <c r="G149" s="3"/>
      <c r="H149" s="3"/>
      <c r="I149" s="3"/>
      <c r="J149" s="3"/>
      <c r="K149" s="3"/>
      <c r="L149" s="3"/>
      <c r="M149" s="3"/>
      <c r="N149" s="3"/>
      <c r="O149" s="3"/>
      <c r="P149" s="3"/>
      <c r="Q149" s="3"/>
      <c r="R149" s="3"/>
      <c r="S149" s="3"/>
    </row>
    <row r="150" spans="1:19">
      <c r="A150" s="3"/>
      <c r="B150" s="3"/>
      <c r="C150" s="3"/>
      <c r="D150" s="3"/>
      <c r="E150" s="3"/>
      <c r="F150" s="3"/>
      <c r="G150" s="3"/>
      <c r="H150" s="3"/>
      <c r="I150" s="3"/>
      <c r="J150" s="3"/>
      <c r="K150" s="3"/>
      <c r="L150" s="3"/>
      <c r="M150" s="3"/>
      <c r="N150" s="3"/>
      <c r="O150" s="3"/>
      <c r="P150" s="3"/>
      <c r="Q150" s="3"/>
      <c r="R150" s="3"/>
      <c r="S150" s="3"/>
    </row>
  </sheetData>
  <phoneticPr fontId="26" type="noConversion"/>
  <hyperlinks>
    <hyperlink ref="G13" r:id="rId1" xr:uid="{00000000-0004-0000-1100-000000000000}"/>
    <hyperlink ref="G10" r:id="rId2" xr:uid="{00000000-0004-0000-1100-000001000000}"/>
    <hyperlink ref="G17" r:id="rId3" xr:uid="{00000000-0004-0000-1100-000002000000}"/>
    <hyperlink ref="G19" r:id="rId4" xr:uid="{00000000-0004-0000-1100-000003000000}"/>
    <hyperlink ref="G24" r:id="rId5" location="frequency" xr:uid="{00000000-0004-0000-1100-000004000000}"/>
    <hyperlink ref="G22" r:id="rId6" xr:uid="{00000000-0004-0000-1100-000005000000}"/>
  </hyperlinks>
  <pageMargins left="0.75" right="0.75" top="1" bottom="1" header="0.5" footer="0.5"/>
  <pageSetup paperSize="9" orientation="portrait" horizontalDpi="4294967293" verticalDpi="0"/>
  <headerFooter alignWithMargins="0"/>
  <legacyDrawing r:id="rId7"/>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9">
    <tabColor indexed="47"/>
  </sheetPr>
  <dimension ref="A1:X54"/>
  <sheetViews>
    <sheetView zoomScale="150" zoomScaleNormal="150" workbookViewId="0">
      <selection activeCell="H14" sqref="H14"/>
    </sheetView>
  </sheetViews>
  <sheetFormatPr defaultColWidth="8.81640625" defaultRowHeight="12.5"/>
  <cols>
    <col min="11" max="11" width="10.453125" bestFit="1" customWidth="1"/>
    <col min="16" max="16" width="1.54296875" customWidth="1"/>
    <col min="17" max="17" width="10.81640625" customWidth="1"/>
  </cols>
  <sheetData>
    <row r="1" spans="1:24" ht="18.5" thickBot="1">
      <c r="A1" s="125" t="s">
        <v>604</v>
      </c>
      <c r="B1" s="127"/>
      <c r="C1" s="127"/>
      <c r="D1" s="127"/>
      <c r="E1" s="127"/>
      <c r="F1" s="127"/>
      <c r="G1" s="127"/>
      <c r="H1" s="127"/>
      <c r="I1" s="127"/>
      <c r="J1" s="127"/>
      <c r="K1" s="127"/>
      <c r="L1" s="127"/>
      <c r="M1" s="127"/>
      <c r="N1" s="127"/>
      <c r="O1" s="127"/>
      <c r="P1" s="127"/>
      <c r="Q1" s="127"/>
      <c r="R1" s="127"/>
      <c r="S1" s="127"/>
      <c r="T1" s="127"/>
      <c r="U1" s="127"/>
      <c r="V1" s="127"/>
      <c r="W1" s="127"/>
      <c r="X1" s="127"/>
    </row>
    <row r="2" spans="1:24">
      <c r="A2" s="3"/>
      <c r="B2" s="3"/>
      <c r="C2" s="3"/>
      <c r="D2" s="3"/>
      <c r="E2" s="3"/>
      <c r="F2" s="3"/>
      <c r="G2" s="3"/>
      <c r="H2" s="468"/>
      <c r="I2" s="468"/>
      <c r="J2" s="468"/>
      <c r="K2" s="468"/>
      <c r="L2" s="468"/>
      <c r="M2" s="468"/>
      <c r="N2" s="468"/>
      <c r="O2" s="468"/>
      <c r="P2" s="468"/>
      <c r="Q2" s="468"/>
      <c r="R2" s="468"/>
      <c r="S2" s="468"/>
      <c r="T2" s="3"/>
      <c r="U2" s="3"/>
      <c r="V2" s="3"/>
      <c r="W2" s="3"/>
      <c r="X2" s="3"/>
    </row>
    <row r="3" spans="1:24">
      <c r="A3" s="3"/>
      <c r="B3" s="345" t="s">
        <v>140</v>
      </c>
      <c r="C3" s="3"/>
      <c r="D3" s="3"/>
      <c r="E3" s="3"/>
      <c r="F3" s="3"/>
      <c r="G3" s="3"/>
      <c r="H3" s="468"/>
      <c r="I3" s="468"/>
      <c r="J3" s="468"/>
      <c r="K3" s="468"/>
      <c r="L3" s="468"/>
      <c r="M3" s="468"/>
      <c r="N3" s="468"/>
      <c r="O3" s="468"/>
      <c r="P3" s="468"/>
      <c r="Q3" s="468"/>
      <c r="R3" s="468"/>
      <c r="S3" s="468"/>
      <c r="T3" s="3"/>
      <c r="U3" s="3"/>
      <c r="V3" s="3"/>
      <c r="W3" s="3"/>
      <c r="X3" s="3"/>
    </row>
    <row r="4" spans="1:24">
      <c r="A4" s="3"/>
      <c r="B4" s="466"/>
      <c r="C4" s="3"/>
      <c r="D4" s="3"/>
      <c r="E4" s="3"/>
      <c r="F4" s="3"/>
      <c r="G4" s="3"/>
      <c r="H4" s="468"/>
      <c r="I4" s="468"/>
      <c r="J4" s="468"/>
      <c r="K4" s="468"/>
      <c r="L4" s="468"/>
      <c r="M4" s="468"/>
      <c r="N4" s="468"/>
      <c r="O4" s="468"/>
      <c r="P4" s="468"/>
      <c r="Q4" s="468"/>
      <c r="R4" s="468"/>
      <c r="S4" s="468"/>
      <c r="T4" s="3"/>
      <c r="U4" s="3"/>
      <c r="V4" s="3"/>
      <c r="W4" s="3"/>
      <c r="X4" s="3"/>
    </row>
    <row r="5" spans="1:24">
      <c r="A5" s="3"/>
      <c r="B5" s="466"/>
      <c r="C5" s="3"/>
      <c r="D5" s="3"/>
      <c r="E5" s="3"/>
      <c r="F5" s="3"/>
      <c r="G5" s="3"/>
      <c r="H5" s="468"/>
      <c r="I5" s="468"/>
      <c r="J5" s="468"/>
      <c r="K5" s="468"/>
      <c r="L5" s="468"/>
      <c r="M5" s="468"/>
      <c r="N5" s="468"/>
      <c r="O5" s="468"/>
      <c r="P5" s="468"/>
      <c r="Q5" s="468"/>
      <c r="R5" s="468"/>
      <c r="S5" s="468"/>
      <c r="T5" s="3"/>
      <c r="U5" s="3"/>
      <c r="V5" s="3"/>
      <c r="W5" s="3"/>
      <c r="X5" s="3"/>
    </row>
    <row r="6" spans="1:24">
      <c r="A6" s="3"/>
      <c r="B6" s="3"/>
      <c r="C6" s="3"/>
      <c r="D6" s="3" t="s">
        <v>434</v>
      </c>
      <c r="E6" s="3"/>
      <c r="F6" s="3"/>
      <c r="G6" s="3" t="s">
        <v>715</v>
      </c>
      <c r="H6" s="470">
        <v>2</v>
      </c>
      <c r="I6" s="287" t="s">
        <v>781</v>
      </c>
      <c r="J6" s="469"/>
      <c r="K6" s="469"/>
      <c r="L6" s="469"/>
      <c r="M6" s="469"/>
      <c r="N6" s="469"/>
      <c r="O6" s="469"/>
      <c r="P6" s="469"/>
      <c r="Q6" s="469"/>
      <c r="R6" s="469"/>
      <c r="S6" s="469"/>
      <c r="T6" s="3"/>
      <c r="U6" s="3"/>
      <c r="V6" s="3"/>
      <c r="W6" s="3"/>
      <c r="X6" s="3"/>
    </row>
    <row r="7" spans="1:24">
      <c r="A7" s="3"/>
      <c r="B7" s="3"/>
      <c r="C7" s="3"/>
      <c r="D7" s="3"/>
      <c r="E7" s="3"/>
      <c r="F7" s="3"/>
      <c r="G7" s="3"/>
      <c r="H7" s="3"/>
      <c r="I7" s="3"/>
      <c r="J7" s="3"/>
      <c r="K7" s="3" t="s">
        <v>556</v>
      </c>
      <c r="L7" s="3"/>
      <c r="M7" s="3"/>
      <c r="N7" s="3"/>
      <c r="O7" s="3"/>
      <c r="P7" s="3"/>
      <c r="Q7" s="3"/>
      <c r="R7" s="3"/>
      <c r="S7" s="3"/>
      <c r="T7" s="3"/>
      <c r="U7" s="3"/>
      <c r="V7" s="3"/>
      <c r="W7" s="3"/>
      <c r="X7" s="3"/>
    </row>
    <row r="8" spans="1:24" ht="13">
      <c r="A8" s="3"/>
      <c r="B8" s="3"/>
      <c r="C8" s="3"/>
      <c r="D8" s="3" t="s">
        <v>433</v>
      </c>
      <c r="E8" s="3"/>
      <c r="F8" s="3"/>
      <c r="G8" s="467" t="s">
        <v>715</v>
      </c>
      <c r="H8" s="471">
        <v>1.2</v>
      </c>
      <c r="I8" s="461" t="s">
        <v>437</v>
      </c>
      <c r="J8" s="3"/>
      <c r="K8" s="32"/>
      <c r="L8" s="3"/>
      <c r="M8" s="3"/>
      <c r="N8" s="3"/>
      <c r="O8" s="3"/>
      <c r="P8" s="3"/>
      <c r="Q8" s="3"/>
      <c r="R8" s="3"/>
      <c r="S8" s="3"/>
      <c r="T8" s="3"/>
      <c r="U8" s="3"/>
      <c r="V8" s="3"/>
      <c r="W8" s="3"/>
      <c r="X8" s="3"/>
    </row>
    <row r="9" spans="1:24">
      <c r="A9" s="3"/>
      <c r="B9" s="3"/>
      <c r="C9" s="3"/>
      <c r="D9" s="3"/>
      <c r="E9" s="3"/>
      <c r="F9" s="3"/>
      <c r="G9" s="3"/>
      <c r="H9" s="3"/>
      <c r="I9" s="3"/>
      <c r="J9" s="3"/>
      <c r="K9" s="3"/>
      <c r="L9" s="3"/>
      <c r="M9" s="3"/>
      <c r="N9" s="3"/>
      <c r="O9" s="3"/>
      <c r="P9" s="3"/>
      <c r="Q9" s="3"/>
      <c r="R9" s="3"/>
      <c r="S9" s="3"/>
      <c r="T9" s="3"/>
      <c r="U9" s="3"/>
      <c r="V9" s="3"/>
      <c r="W9" s="3"/>
      <c r="X9" s="3"/>
    </row>
    <row r="10" spans="1:24">
      <c r="A10" s="3"/>
      <c r="B10" s="3"/>
      <c r="C10" s="3"/>
      <c r="D10" s="3" t="s">
        <v>435</v>
      </c>
      <c r="E10" s="3"/>
      <c r="F10" s="3"/>
      <c r="G10" s="3"/>
      <c r="H10" s="462">
        <f>(H6*((H8-1)^2))/((H8+1)^2)</f>
        <v>1.6528925619834701E-2</v>
      </c>
      <c r="I10" s="185" t="s">
        <v>781</v>
      </c>
      <c r="J10" s="3"/>
      <c r="K10" s="464">
        <f>H10/H6</f>
        <v>8.2644628099173504E-3</v>
      </c>
      <c r="L10" s="3" t="s">
        <v>555</v>
      </c>
      <c r="M10" s="3"/>
      <c r="N10" s="3"/>
      <c r="O10" s="3"/>
      <c r="P10" s="3"/>
      <c r="Q10" s="3"/>
      <c r="R10" s="3"/>
      <c r="S10" s="3"/>
      <c r="T10" s="3"/>
      <c r="U10" s="3"/>
      <c r="V10" s="3"/>
      <c r="W10" s="3"/>
      <c r="X10" s="3"/>
    </row>
    <row r="11" spans="1:24">
      <c r="A11" s="3"/>
      <c r="B11" s="3"/>
      <c r="C11" s="3"/>
      <c r="D11" s="3"/>
      <c r="E11" s="3"/>
      <c r="F11" s="3"/>
      <c r="G11" s="3"/>
      <c r="H11" s="3"/>
      <c r="I11" s="3"/>
      <c r="J11" s="3"/>
      <c r="K11" s="3"/>
      <c r="L11" s="3"/>
      <c r="M11" s="3"/>
      <c r="N11" s="3"/>
      <c r="O11" s="3"/>
      <c r="P11" s="3"/>
      <c r="Q11" s="3"/>
      <c r="R11" s="3"/>
      <c r="S11" s="3"/>
      <c r="T11" s="3"/>
      <c r="U11" s="3"/>
      <c r="V11" s="3"/>
      <c r="W11" s="3"/>
      <c r="X11" s="3"/>
    </row>
    <row r="12" spans="1:24">
      <c r="A12" s="3"/>
      <c r="B12" s="3"/>
      <c r="C12" s="3"/>
      <c r="D12" s="3" t="s">
        <v>436</v>
      </c>
      <c r="E12" s="3"/>
      <c r="F12" s="3"/>
      <c r="G12" s="3"/>
      <c r="H12" s="462">
        <f>H6-H10</f>
        <v>1.9834710743801653</v>
      </c>
      <c r="I12" s="185" t="s">
        <v>781</v>
      </c>
      <c r="J12" s="3"/>
      <c r="K12" s="463">
        <f>1-K10</f>
        <v>0.99173553719008267</v>
      </c>
      <c r="L12" s="3" t="s">
        <v>555</v>
      </c>
      <c r="M12" s="3"/>
      <c r="N12" s="3"/>
      <c r="O12" s="3"/>
      <c r="P12" s="3"/>
      <c r="Q12" s="3"/>
      <c r="R12" s="3"/>
      <c r="S12" s="3"/>
      <c r="T12" s="3"/>
      <c r="U12" s="3"/>
      <c r="V12" s="3"/>
      <c r="W12" s="3"/>
      <c r="X12" s="3"/>
    </row>
    <row r="13" spans="1:24">
      <c r="A13" s="3"/>
      <c r="B13" s="3"/>
      <c r="C13" s="3"/>
      <c r="D13" s="3"/>
      <c r="E13" s="3"/>
      <c r="F13" s="3"/>
      <c r="G13" s="3"/>
      <c r="H13" s="3"/>
      <c r="I13" s="3"/>
      <c r="J13" s="3"/>
      <c r="K13" s="3"/>
      <c r="L13" s="3"/>
      <c r="M13" s="3"/>
      <c r="N13" s="3"/>
      <c r="O13" s="3"/>
      <c r="P13" s="3"/>
      <c r="Q13" s="3"/>
      <c r="R13" s="3"/>
      <c r="S13" s="3"/>
      <c r="T13" s="3"/>
      <c r="U13" s="3"/>
      <c r="V13" s="3"/>
      <c r="W13" s="3"/>
      <c r="X13" s="3"/>
    </row>
    <row r="14" spans="1:24" ht="13">
      <c r="A14" s="3"/>
      <c r="B14" s="3"/>
      <c r="C14" s="3"/>
      <c r="D14" s="3" t="s">
        <v>440</v>
      </c>
      <c r="E14" s="3"/>
      <c r="F14" s="3"/>
      <c r="G14" s="3"/>
      <c r="H14" s="465">
        <f>-10*LOG10(H12/H6)</f>
        <v>3.6041242688252415E-2</v>
      </c>
      <c r="I14" s="185" t="s">
        <v>757</v>
      </c>
      <c r="J14" s="3"/>
      <c r="K14" s="3" t="s">
        <v>438</v>
      </c>
      <c r="L14" s="3"/>
      <c r="M14" s="3"/>
      <c r="N14" s="3"/>
      <c r="O14" s="3"/>
      <c r="P14" s="3"/>
      <c r="Q14" s="3"/>
      <c r="R14" s="3"/>
      <c r="S14" s="3"/>
      <c r="T14" s="3"/>
      <c r="U14" s="3"/>
      <c r="V14" s="3"/>
      <c r="W14" s="3"/>
      <c r="X14" s="3"/>
    </row>
    <row r="15" spans="1:24">
      <c r="A15" s="3"/>
      <c r="B15" s="3"/>
      <c r="C15" s="3"/>
      <c r="D15" s="3"/>
      <c r="E15" s="3"/>
      <c r="F15" s="3"/>
      <c r="G15" s="3"/>
      <c r="H15" s="469"/>
      <c r="I15" s="469"/>
      <c r="J15" s="469"/>
      <c r="K15" s="468" t="s">
        <v>439</v>
      </c>
      <c r="L15" s="469"/>
      <c r="M15" s="469"/>
      <c r="N15" s="469"/>
      <c r="O15" s="469"/>
      <c r="P15" s="469"/>
      <c r="Q15" s="469"/>
      <c r="R15" s="469"/>
      <c r="S15" s="469"/>
      <c r="T15" s="3"/>
      <c r="U15" s="3"/>
      <c r="V15" s="3"/>
      <c r="W15" s="3"/>
      <c r="X15" s="3"/>
    </row>
    <row r="16" spans="1:24">
      <c r="A16" s="3"/>
      <c r="B16" s="3"/>
      <c r="C16" s="3"/>
      <c r="D16" s="3"/>
      <c r="E16" s="3"/>
      <c r="F16" s="3"/>
      <c r="G16" s="3"/>
      <c r="H16" s="469"/>
      <c r="I16" s="469"/>
      <c r="J16" s="469"/>
      <c r="K16" s="469"/>
      <c r="L16" s="469"/>
      <c r="M16" s="469"/>
      <c r="N16" s="469"/>
      <c r="O16" s="469"/>
      <c r="P16" s="469"/>
      <c r="Q16" s="469"/>
      <c r="R16" s="469"/>
      <c r="S16" s="469"/>
      <c r="T16" s="3"/>
      <c r="U16" s="3"/>
      <c r="V16" s="3"/>
      <c r="W16" s="3"/>
      <c r="X16" s="3"/>
    </row>
    <row r="17" spans="1:24">
      <c r="A17" s="3"/>
      <c r="B17" s="3"/>
      <c r="C17" s="3"/>
      <c r="D17" s="3"/>
      <c r="E17" s="3"/>
      <c r="F17" s="3"/>
      <c r="G17" s="3"/>
      <c r="H17" s="469"/>
      <c r="I17" s="469"/>
      <c r="J17" s="469"/>
      <c r="K17" s="469"/>
      <c r="L17" s="469"/>
      <c r="M17" s="469"/>
      <c r="N17" s="469"/>
      <c r="O17" s="469"/>
      <c r="P17" s="469"/>
      <c r="Q17" s="469"/>
      <c r="R17" s="469"/>
      <c r="S17" s="469"/>
      <c r="T17" s="3"/>
      <c r="U17" s="37" t="s">
        <v>551</v>
      </c>
      <c r="V17" s="37"/>
      <c r="W17" s="37"/>
      <c r="X17" s="3"/>
    </row>
    <row r="18" spans="1:24">
      <c r="A18" s="3"/>
      <c r="B18" s="3"/>
      <c r="C18" s="3"/>
      <c r="D18" s="3"/>
      <c r="E18" s="3"/>
      <c r="F18" s="3"/>
      <c r="G18" s="3"/>
      <c r="H18" s="469"/>
      <c r="I18" s="469"/>
      <c r="J18" s="469"/>
      <c r="K18" s="469"/>
      <c r="L18" s="469"/>
      <c r="M18" s="469"/>
      <c r="N18" s="469"/>
      <c r="O18" s="469"/>
      <c r="P18" s="469"/>
      <c r="Q18" s="469"/>
      <c r="R18" s="469"/>
      <c r="S18" s="469"/>
      <c r="T18" s="3"/>
      <c r="U18" s="3" t="s">
        <v>557</v>
      </c>
      <c r="V18" s="33">
        <f>SQRT(O19^2+Q19^2)</f>
        <v>50</v>
      </c>
      <c r="W18" s="534" t="s">
        <v>552</v>
      </c>
      <c r="X18" s="3"/>
    </row>
    <row r="19" spans="1:24" ht="13">
      <c r="A19" s="3"/>
      <c r="B19" s="3"/>
      <c r="C19" s="3"/>
      <c r="D19" s="3"/>
      <c r="E19" s="3"/>
      <c r="F19" s="3"/>
      <c r="G19" s="3"/>
      <c r="H19" s="469"/>
      <c r="I19" s="469"/>
      <c r="J19" s="469"/>
      <c r="K19" s="469"/>
      <c r="L19" s="469"/>
      <c r="M19" s="94" t="s">
        <v>474</v>
      </c>
      <c r="N19" s="469"/>
      <c r="O19" s="264">
        <v>50</v>
      </c>
      <c r="P19" s="531" t="s">
        <v>810</v>
      </c>
      <c r="Q19" s="532">
        <v>0</v>
      </c>
      <c r="R19" s="469"/>
      <c r="S19" s="469"/>
      <c r="T19" s="3"/>
      <c r="U19" s="3"/>
      <c r="V19" s="33"/>
      <c r="W19" s="3"/>
      <c r="X19" s="3"/>
    </row>
    <row r="20" spans="1:24">
      <c r="A20" s="3"/>
      <c r="B20" s="3"/>
      <c r="C20" s="3"/>
      <c r="D20" s="3"/>
      <c r="E20" s="3"/>
      <c r="F20" s="3"/>
      <c r="G20" s="3"/>
      <c r="H20" s="469"/>
      <c r="I20" s="469"/>
      <c r="J20" s="469"/>
      <c r="K20" s="469"/>
      <c r="L20" s="469"/>
      <c r="M20" s="469"/>
      <c r="N20" s="469"/>
      <c r="O20" s="469"/>
      <c r="P20" s="469"/>
      <c r="Q20" s="468"/>
      <c r="R20" s="469"/>
      <c r="S20" s="469"/>
      <c r="T20" s="3"/>
      <c r="U20" s="3" t="s">
        <v>558</v>
      </c>
      <c r="V20" s="33">
        <f>SQRT(O21^2+Q21^2)</f>
        <v>79.05694150420949</v>
      </c>
      <c r="W20" s="534" t="s">
        <v>552</v>
      </c>
      <c r="X20" s="3"/>
    </row>
    <row r="21" spans="1:24" ht="13">
      <c r="A21" s="3"/>
      <c r="B21" s="3"/>
      <c r="C21" s="3"/>
      <c r="D21" s="3"/>
      <c r="E21" s="3"/>
      <c r="F21" s="3"/>
      <c r="G21" s="3"/>
      <c r="H21" s="469"/>
      <c r="I21" s="469"/>
      <c r="J21" s="469"/>
      <c r="K21" s="469"/>
      <c r="L21" s="469"/>
      <c r="M21" s="94" t="s">
        <v>475</v>
      </c>
      <c r="N21" s="469"/>
      <c r="O21" s="264">
        <v>75</v>
      </c>
      <c r="P21" s="531" t="s">
        <v>810</v>
      </c>
      <c r="Q21" s="532">
        <v>-25</v>
      </c>
      <c r="R21" s="469"/>
      <c r="S21" s="469"/>
      <c r="T21" s="3"/>
      <c r="U21" s="3"/>
      <c r="V21" s="3"/>
      <c r="W21" s="3"/>
      <c r="X21" s="3"/>
    </row>
    <row r="22" spans="1:24">
      <c r="A22" s="3"/>
      <c r="B22" s="3"/>
      <c r="C22" s="3"/>
      <c r="D22" s="3"/>
      <c r="E22" s="3"/>
      <c r="F22" s="3"/>
      <c r="G22" s="3"/>
      <c r="H22" s="469"/>
      <c r="I22" s="469"/>
      <c r="J22" s="469"/>
      <c r="K22" s="469"/>
      <c r="L22" s="469"/>
      <c r="M22" s="469"/>
      <c r="N22" s="469"/>
      <c r="O22" s="469"/>
      <c r="P22" s="469"/>
      <c r="Q22" s="469"/>
      <c r="R22" s="469"/>
      <c r="S22" s="469"/>
      <c r="T22" s="3"/>
      <c r="U22" s="3"/>
      <c r="V22" s="345" t="s">
        <v>140</v>
      </c>
      <c r="W22" s="3"/>
      <c r="X22" s="3"/>
    </row>
    <row r="23" spans="1:24">
      <c r="A23" s="3"/>
      <c r="B23" s="3"/>
      <c r="C23" s="3"/>
      <c r="D23" s="3"/>
      <c r="E23" s="3"/>
      <c r="F23" s="3"/>
      <c r="G23" s="3"/>
      <c r="H23" s="469"/>
      <c r="I23" s="469"/>
      <c r="J23" s="469"/>
      <c r="K23" s="469"/>
      <c r="L23" s="469"/>
      <c r="M23" s="94" t="s">
        <v>443</v>
      </c>
      <c r="N23" s="469"/>
      <c r="O23" s="639">
        <f>IF(V18&gt;V20, V18/V20, V20/V18)</f>
        <v>1.5811388300841898</v>
      </c>
      <c r="P23" s="458"/>
      <c r="Q23" s="469"/>
      <c r="R23" s="469"/>
      <c r="S23" s="469"/>
      <c r="T23" s="3"/>
      <c r="U23" s="3"/>
      <c r="V23" s="3"/>
      <c r="W23" s="3"/>
      <c r="X23" s="3"/>
    </row>
    <row r="24" spans="1:24">
      <c r="A24" s="3"/>
      <c r="B24" s="3"/>
      <c r="C24" s="3"/>
      <c r="D24" s="3"/>
      <c r="E24" s="3"/>
      <c r="F24" s="3"/>
      <c r="G24" s="3"/>
      <c r="H24" s="469"/>
      <c r="I24" s="469"/>
      <c r="J24" s="469"/>
      <c r="K24" s="469"/>
      <c r="L24" s="469"/>
      <c r="M24" s="469"/>
      <c r="N24" s="469"/>
      <c r="O24" s="469"/>
      <c r="P24" s="469"/>
      <c r="Q24" s="94" t="s">
        <v>553</v>
      </c>
      <c r="R24" s="469"/>
      <c r="S24" s="469"/>
      <c r="T24" s="3"/>
      <c r="U24" s="3"/>
      <c r="V24" s="3"/>
      <c r="W24" s="3"/>
      <c r="X24" s="3"/>
    </row>
    <row r="25" spans="1:24">
      <c r="A25" s="3"/>
      <c r="B25" s="3"/>
      <c r="C25" s="3"/>
      <c r="D25" s="3"/>
      <c r="E25" s="3"/>
      <c r="F25" s="3"/>
      <c r="G25" s="3"/>
      <c r="H25" s="469"/>
      <c r="I25" s="469"/>
      <c r="J25" s="469"/>
      <c r="K25" s="469"/>
      <c r="L25" s="469"/>
      <c r="M25" s="469"/>
      <c r="N25" s="469"/>
      <c r="O25" s="469"/>
      <c r="P25" s="469"/>
      <c r="Q25" s="469"/>
      <c r="R25" s="469"/>
      <c r="S25" s="469"/>
      <c r="T25" s="3"/>
      <c r="U25" s="3"/>
      <c r="V25" s="3"/>
      <c r="W25" s="3"/>
      <c r="X25" s="3"/>
    </row>
    <row r="26" spans="1:24">
      <c r="A26" s="3"/>
      <c r="B26" s="3"/>
      <c r="C26" s="3"/>
      <c r="D26" s="3"/>
      <c r="E26" s="3"/>
      <c r="F26" s="3"/>
      <c r="G26" s="3"/>
      <c r="H26" s="469"/>
      <c r="I26" s="469"/>
      <c r="J26" s="469"/>
      <c r="K26" s="469"/>
      <c r="L26" s="469"/>
      <c r="M26" s="469"/>
      <c r="N26" s="469"/>
      <c r="O26" s="469"/>
      <c r="P26" s="469"/>
      <c r="Q26" s="469"/>
      <c r="R26" s="469"/>
      <c r="S26" s="469"/>
      <c r="T26" s="3"/>
      <c r="U26" s="3"/>
      <c r="V26" s="3"/>
      <c r="W26" s="3"/>
      <c r="X26" s="3"/>
    </row>
    <row r="27" spans="1:24">
      <c r="A27" s="3"/>
      <c r="B27" s="3"/>
      <c r="C27" s="3"/>
      <c r="D27" s="3"/>
      <c r="E27" s="3"/>
      <c r="F27" s="3"/>
      <c r="G27" s="3"/>
      <c r="H27" s="469"/>
      <c r="I27" s="469"/>
      <c r="J27" s="469"/>
      <c r="K27" s="469"/>
      <c r="L27" s="469"/>
      <c r="M27" s="469"/>
      <c r="N27" s="469"/>
      <c r="O27" s="469"/>
      <c r="P27" s="469"/>
      <c r="Q27" s="469"/>
      <c r="R27" s="468" t="s">
        <v>230</v>
      </c>
      <c r="S27" s="469"/>
      <c r="T27" s="3"/>
      <c r="U27" s="3"/>
      <c r="V27" s="3"/>
      <c r="W27" s="3"/>
      <c r="X27" s="3"/>
    </row>
    <row r="28" spans="1:24">
      <c r="A28" s="3"/>
      <c r="B28" s="3"/>
      <c r="C28" s="3"/>
      <c r="D28" s="3"/>
      <c r="E28" s="3"/>
      <c r="F28" s="3"/>
      <c r="G28" s="3"/>
      <c r="H28" s="469"/>
      <c r="I28" s="469"/>
      <c r="J28" s="469"/>
      <c r="K28" s="469"/>
      <c r="L28" s="469"/>
      <c r="M28" s="469"/>
      <c r="N28" s="469"/>
      <c r="O28" s="469"/>
      <c r="P28" s="469"/>
      <c r="Q28" s="469"/>
      <c r="R28" s="468" t="s">
        <v>715</v>
      </c>
      <c r="S28" s="469"/>
      <c r="T28" s="3"/>
      <c r="U28" s="3"/>
      <c r="V28" s="3"/>
      <c r="W28" s="3"/>
      <c r="X28" s="3"/>
    </row>
    <row r="29" spans="1:24">
      <c r="A29" s="3"/>
      <c r="B29" s="3"/>
      <c r="C29" s="3"/>
      <c r="D29" s="3"/>
      <c r="E29" s="3"/>
      <c r="F29" s="3"/>
      <c r="G29" s="3"/>
      <c r="H29" s="469"/>
      <c r="I29" s="469"/>
      <c r="J29" s="469"/>
      <c r="K29" s="469"/>
      <c r="L29" s="469"/>
      <c r="M29" s="469"/>
      <c r="N29" s="469"/>
      <c r="O29" s="469"/>
      <c r="P29" s="469"/>
      <c r="Q29" s="469"/>
      <c r="R29" s="469"/>
      <c r="S29" s="469"/>
      <c r="T29" s="3"/>
      <c r="U29" s="3"/>
      <c r="V29" s="3"/>
      <c r="W29" s="3"/>
      <c r="X29" s="3"/>
    </row>
    <row r="30" spans="1:24">
      <c r="A30" s="3"/>
      <c r="B30" s="3"/>
      <c r="C30" s="3"/>
      <c r="D30" s="3"/>
      <c r="E30" s="3"/>
      <c r="F30" s="3"/>
      <c r="G30" s="3"/>
      <c r="H30" s="469"/>
      <c r="I30" s="469"/>
      <c r="J30" s="469"/>
      <c r="K30" s="469"/>
      <c r="L30" s="469"/>
      <c r="M30" s="469"/>
      <c r="N30" s="469"/>
      <c r="O30" s="469"/>
      <c r="P30" s="469"/>
      <c r="Q30" s="468" t="s">
        <v>554</v>
      </c>
      <c r="R30" s="469"/>
      <c r="S30" s="469"/>
      <c r="T30" s="3"/>
      <c r="U30" s="3"/>
      <c r="V30" s="3"/>
      <c r="W30" s="3"/>
      <c r="X30" s="3"/>
    </row>
    <row r="31" spans="1:24">
      <c r="A31" s="3"/>
      <c r="B31" s="3"/>
      <c r="C31" s="3"/>
      <c r="D31" s="3"/>
      <c r="E31" s="3"/>
      <c r="F31" s="3"/>
      <c r="G31" s="3"/>
      <c r="H31" s="469"/>
      <c r="I31" s="469"/>
      <c r="J31" s="469"/>
      <c r="K31" s="469"/>
      <c r="L31" s="469"/>
      <c r="M31" s="469"/>
      <c r="N31" s="469"/>
      <c r="O31" s="469"/>
      <c r="P31" s="469"/>
      <c r="Q31" s="469"/>
      <c r="R31" s="469"/>
      <c r="S31" s="469"/>
      <c r="T31" s="3"/>
      <c r="U31" s="3"/>
      <c r="V31" s="3"/>
      <c r="W31" s="3"/>
      <c r="X31" s="3"/>
    </row>
    <row r="32" spans="1:24">
      <c r="A32" s="3"/>
      <c r="B32" s="3"/>
      <c r="C32" s="3"/>
      <c r="D32" s="3"/>
      <c r="E32" s="3"/>
      <c r="F32" s="3"/>
      <c r="G32" s="3"/>
      <c r="H32" s="469"/>
      <c r="I32" s="469"/>
      <c r="J32" s="469"/>
      <c r="K32" s="469"/>
      <c r="L32" s="469"/>
      <c r="M32" s="457" t="s">
        <v>441</v>
      </c>
      <c r="N32" s="468"/>
      <c r="O32" s="468"/>
      <c r="P32" s="468"/>
      <c r="Q32" s="472">
        <v>5</v>
      </c>
      <c r="R32" s="468"/>
      <c r="S32" s="469"/>
      <c r="T32" s="3"/>
      <c r="U32" s="3"/>
      <c r="V32" s="3"/>
      <c r="W32" s="3"/>
      <c r="X32" s="3"/>
    </row>
    <row r="33" spans="1:24">
      <c r="A33" s="3"/>
      <c r="B33" s="3"/>
      <c r="C33" s="3"/>
      <c r="D33" s="3"/>
      <c r="E33" s="3"/>
      <c r="F33" s="3"/>
      <c r="G33" s="3"/>
      <c r="H33" s="469"/>
      <c r="I33" s="469"/>
      <c r="J33" s="469"/>
      <c r="K33" s="469"/>
      <c r="L33" s="469"/>
      <c r="M33" s="468"/>
      <c r="N33" s="468"/>
      <c r="O33" s="468"/>
      <c r="P33" s="468"/>
      <c r="Q33" s="468"/>
      <c r="R33" s="468"/>
      <c r="S33" s="469"/>
      <c r="T33" s="3"/>
      <c r="U33" s="3"/>
      <c r="V33" s="3"/>
      <c r="W33" s="3"/>
      <c r="X33" s="3"/>
    </row>
    <row r="34" spans="1:24">
      <c r="A34" s="3"/>
      <c r="B34" s="3"/>
      <c r="C34" s="3"/>
      <c r="D34" s="3"/>
      <c r="E34" s="3"/>
      <c r="F34" s="3"/>
      <c r="G34" s="3"/>
      <c r="H34" s="469"/>
      <c r="I34" s="469"/>
      <c r="J34" s="469"/>
      <c r="K34" s="469"/>
      <c r="L34" s="469"/>
      <c r="M34" s="468" t="s">
        <v>442</v>
      </c>
      <c r="N34" s="468"/>
      <c r="O34" s="468"/>
      <c r="P34" s="468"/>
      <c r="Q34" s="683">
        <v>0.25</v>
      </c>
      <c r="R34" s="468"/>
      <c r="S34" s="469"/>
      <c r="T34" s="3"/>
      <c r="U34" s="3"/>
      <c r="V34" s="3"/>
      <c r="W34" s="3"/>
      <c r="X34" s="3"/>
    </row>
    <row r="35" spans="1:24">
      <c r="A35" s="3"/>
      <c r="B35" s="3"/>
      <c r="C35" s="3"/>
      <c r="D35" s="3"/>
      <c r="E35" s="3"/>
      <c r="F35" s="3"/>
      <c r="G35" s="3"/>
      <c r="H35" s="469"/>
      <c r="I35" s="469"/>
      <c r="J35" s="469"/>
      <c r="K35" s="469"/>
      <c r="L35" s="469"/>
      <c r="M35" s="468"/>
      <c r="N35" s="468"/>
      <c r="O35" s="468"/>
      <c r="P35" s="468"/>
      <c r="Q35" s="468"/>
      <c r="R35" s="468"/>
      <c r="S35" s="469"/>
      <c r="T35" s="3"/>
      <c r="U35" s="3"/>
      <c r="V35" s="3"/>
      <c r="W35" s="3"/>
      <c r="X35" s="3"/>
    </row>
    <row r="36" spans="1:24">
      <c r="A36" s="3"/>
      <c r="B36" s="3"/>
      <c r="C36" s="3"/>
      <c r="D36" s="3"/>
      <c r="E36" s="3"/>
      <c r="F36" s="3"/>
      <c r="G36" s="3"/>
      <c r="H36" s="469"/>
      <c r="I36" s="469"/>
      <c r="J36" s="469"/>
      <c r="K36" s="469"/>
      <c r="L36" s="469"/>
      <c r="M36" s="468" t="s">
        <v>443</v>
      </c>
      <c r="N36" s="468"/>
      <c r="O36" s="468"/>
      <c r="P36" s="468"/>
      <c r="Q36" s="639">
        <f>(SQRT(Q32)+SQRT(Q34))/(SQRT(Q32)-SQRT(Q34))</f>
        <v>1.5760143110525873</v>
      </c>
      <c r="R36" s="468"/>
      <c r="S36" s="469"/>
      <c r="T36" s="3"/>
      <c r="U36" s="3"/>
      <c r="V36" s="3"/>
      <c r="W36" s="3"/>
      <c r="X36" s="3"/>
    </row>
    <row r="37" spans="1:24">
      <c r="A37" s="3"/>
      <c r="B37" s="3"/>
      <c r="C37" s="3"/>
      <c r="D37" s="3"/>
      <c r="E37" s="3"/>
      <c r="F37" s="3"/>
      <c r="G37" s="3"/>
      <c r="H37" s="469"/>
      <c r="I37" s="469"/>
      <c r="J37" s="469"/>
      <c r="K37" s="469"/>
      <c r="L37" s="469"/>
      <c r="M37" s="468"/>
      <c r="N37" s="468"/>
      <c r="O37" s="468"/>
      <c r="P37" s="468"/>
      <c r="Q37" s="468"/>
      <c r="R37" s="468"/>
      <c r="S37" s="469"/>
      <c r="T37" s="3"/>
      <c r="U37" s="3"/>
      <c r="V37" s="3"/>
      <c r="W37" s="3"/>
      <c r="X37" s="3"/>
    </row>
    <row r="38" spans="1:24">
      <c r="A38" s="3"/>
      <c r="B38" s="3"/>
      <c r="C38" s="3"/>
      <c r="D38" s="3"/>
      <c r="E38" s="3"/>
      <c r="F38" s="3"/>
      <c r="G38" s="3"/>
      <c r="H38" s="469"/>
      <c r="I38" s="469"/>
      <c r="J38" s="469"/>
      <c r="K38" s="469"/>
      <c r="L38" s="469"/>
      <c r="M38" s="468"/>
      <c r="N38" s="468"/>
      <c r="O38" s="468"/>
      <c r="P38" s="468"/>
      <c r="Q38" s="468"/>
      <c r="R38" s="468"/>
      <c r="S38" s="469"/>
      <c r="T38" s="3"/>
      <c r="U38" s="3"/>
      <c r="V38" s="3"/>
      <c r="W38" s="3"/>
      <c r="X38" s="3"/>
    </row>
    <row r="39" spans="1:24">
      <c r="A39" s="3"/>
      <c r="B39" s="3"/>
      <c r="C39" s="3"/>
      <c r="D39" s="3"/>
      <c r="E39" s="3"/>
      <c r="F39" s="3"/>
      <c r="G39" s="3"/>
      <c r="H39" s="469"/>
      <c r="I39" s="469"/>
      <c r="J39" s="469"/>
      <c r="K39" s="469"/>
      <c r="L39" s="469"/>
      <c r="M39" s="468"/>
      <c r="N39" s="468"/>
      <c r="O39" s="468"/>
      <c r="P39" s="468"/>
      <c r="Q39" s="469"/>
      <c r="R39" s="469"/>
      <c r="S39" s="469"/>
      <c r="T39" s="3"/>
      <c r="U39" s="3"/>
      <c r="V39" s="3"/>
      <c r="W39" s="3"/>
      <c r="X39" s="3"/>
    </row>
    <row r="40" spans="1:24">
      <c r="A40" s="3"/>
      <c r="B40" s="3"/>
      <c r="C40" s="3"/>
      <c r="D40" s="3"/>
      <c r="E40" s="3"/>
      <c r="F40" s="3"/>
      <c r="G40" s="3"/>
      <c r="H40" s="469"/>
      <c r="I40" s="469"/>
      <c r="J40" s="469"/>
      <c r="K40" s="469"/>
      <c r="L40" s="469"/>
      <c r="M40" s="468"/>
      <c r="N40" s="468"/>
      <c r="O40" s="468"/>
      <c r="P40" s="468"/>
      <c r="Q40" s="469"/>
      <c r="R40" s="469"/>
      <c r="S40" s="469"/>
      <c r="T40" s="3"/>
      <c r="U40" s="3"/>
      <c r="V40" s="3"/>
      <c r="W40" s="3"/>
      <c r="X40" s="3"/>
    </row>
    <row r="41" spans="1:24">
      <c r="A41" s="3"/>
      <c r="B41" s="3"/>
      <c r="C41" s="3"/>
      <c r="D41" s="3"/>
      <c r="E41" s="3"/>
      <c r="F41" s="3"/>
      <c r="G41" s="3"/>
      <c r="H41" s="469"/>
      <c r="I41" s="469"/>
      <c r="J41" s="469"/>
      <c r="K41" s="469"/>
      <c r="L41" s="469"/>
      <c r="M41" s="469"/>
      <c r="N41" s="469"/>
      <c r="O41" s="469"/>
      <c r="P41" s="469"/>
      <c r="Q41" s="469"/>
      <c r="R41" s="469"/>
      <c r="S41" s="469"/>
      <c r="T41" s="3"/>
      <c r="U41" s="3"/>
      <c r="V41" s="3"/>
      <c r="W41" s="3"/>
      <c r="X41" s="3"/>
    </row>
    <row r="42" spans="1:24">
      <c r="A42" s="3"/>
      <c r="B42" s="3"/>
      <c r="C42" s="3"/>
      <c r="D42" s="3"/>
      <c r="E42" s="3"/>
      <c r="F42" s="3"/>
      <c r="G42" s="345" t="s">
        <v>140</v>
      </c>
      <c r="H42" s="469"/>
      <c r="I42" s="469"/>
      <c r="J42" s="469"/>
      <c r="K42" s="469"/>
      <c r="L42" s="469"/>
      <c r="M42" s="469"/>
      <c r="N42" s="469"/>
      <c r="O42" s="469"/>
      <c r="P42" s="469"/>
      <c r="Q42" s="469"/>
      <c r="R42" s="469"/>
      <c r="S42" s="469"/>
      <c r="T42" s="3"/>
      <c r="U42" s="3"/>
      <c r="V42" s="3"/>
      <c r="W42" s="3"/>
      <c r="X42" s="3"/>
    </row>
    <row r="43" spans="1:24">
      <c r="A43" s="3"/>
      <c r="B43" s="3"/>
      <c r="C43" s="3"/>
      <c r="D43" s="3"/>
      <c r="E43" s="3"/>
      <c r="F43" s="3"/>
      <c r="G43" s="3"/>
      <c r="H43" s="469"/>
      <c r="I43" s="469"/>
      <c r="J43" s="469"/>
      <c r="K43" s="469"/>
      <c r="L43" s="469"/>
      <c r="M43" s="469"/>
      <c r="N43" s="469"/>
      <c r="O43" s="469"/>
      <c r="P43" s="469"/>
      <c r="Q43" s="469"/>
      <c r="R43" s="469"/>
      <c r="S43" s="469"/>
      <c r="T43" s="3"/>
      <c r="U43" s="3"/>
      <c r="V43" s="3"/>
      <c r="W43" s="3"/>
      <c r="X43" s="3"/>
    </row>
    <row r="44" spans="1:24">
      <c r="A44" s="3"/>
      <c r="B44" s="3"/>
      <c r="C44" s="3"/>
      <c r="D44" s="3"/>
      <c r="E44" s="3"/>
      <c r="F44" s="3"/>
      <c r="G44" s="3"/>
      <c r="H44" s="469"/>
      <c r="I44" s="469"/>
      <c r="J44" s="469"/>
      <c r="K44" s="469"/>
      <c r="L44" s="469"/>
      <c r="M44" s="469"/>
      <c r="N44" s="469"/>
      <c r="O44" s="469"/>
      <c r="P44" s="469"/>
      <c r="Q44" s="469"/>
      <c r="R44" s="469"/>
      <c r="S44" s="469"/>
      <c r="T44" s="3"/>
      <c r="U44" s="3"/>
      <c r="V44" s="3"/>
      <c r="W44" s="3"/>
      <c r="X44" s="3"/>
    </row>
    <row r="45" spans="1:24">
      <c r="A45" s="3"/>
      <c r="B45" s="3"/>
      <c r="C45" s="3"/>
      <c r="D45" s="3"/>
      <c r="E45" s="3"/>
      <c r="F45" s="3"/>
      <c r="G45" s="3"/>
      <c r="H45" s="469"/>
      <c r="I45" s="469"/>
      <c r="J45" s="469"/>
      <c r="K45" s="469"/>
      <c r="L45" s="469"/>
      <c r="M45" s="469"/>
      <c r="N45" s="469"/>
      <c r="O45" s="469"/>
      <c r="P45" s="469"/>
      <c r="Q45" s="469"/>
      <c r="R45" s="469"/>
      <c r="S45" s="469"/>
      <c r="T45" s="3"/>
      <c r="U45" s="3"/>
      <c r="V45" s="3"/>
      <c r="W45" s="3"/>
      <c r="X45" s="3"/>
    </row>
    <row r="46" spans="1:24">
      <c r="A46" s="3"/>
      <c r="B46" s="3"/>
      <c r="C46" s="3"/>
      <c r="D46" s="3"/>
      <c r="E46" s="3"/>
      <c r="F46" s="3"/>
      <c r="G46" s="3"/>
      <c r="H46" s="469"/>
      <c r="I46" s="469"/>
      <c r="J46" s="469"/>
      <c r="K46" s="469"/>
      <c r="L46" s="469"/>
      <c r="M46" s="469"/>
      <c r="N46" s="469"/>
      <c r="O46" s="469"/>
      <c r="P46" s="469"/>
      <c r="Q46" s="469"/>
      <c r="R46" s="469"/>
      <c r="S46" s="469"/>
      <c r="T46" s="3"/>
      <c r="U46" s="3"/>
      <c r="V46" s="3"/>
      <c r="W46" s="3"/>
      <c r="X46" s="3"/>
    </row>
    <row r="47" spans="1:24">
      <c r="A47" s="3"/>
      <c r="B47" s="3"/>
      <c r="C47" s="3"/>
      <c r="D47" s="3"/>
      <c r="E47" s="3"/>
      <c r="F47" s="3"/>
      <c r="G47" s="3"/>
      <c r="H47" s="469"/>
      <c r="I47" s="469"/>
      <c r="J47" s="469"/>
      <c r="K47" s="469"/>
      <c r="L47" s="469"/>
      <c r="M47" s="469"/>
      <c r="N47" s="469"/>
      <c r="O47" s="469"/>
      <c r="P47" s="469"/>
      <c r="Q47" s="469"/>
      <c r="R47" s="469"/>
      <c r="S47" s="469"/>
      <c r="T47" s="3"/>
      <c r="U47" s="3"/>
      <c r="V47" s="3"/>
      <c r="W47" s="3"/>
      <c r="X47" s="3"/>
    </row>
    <row r="48" spans="1:24">
      <c r="A48" s="3"/>
      <c r="B48" s="3"/>
      <c r="C48" s="3"/>
      <c r="D48" s="3"/>
      <c r="E48" s="3"/>
      <c r="F48" s="3"/>
      <c r="G48" s="3"/>
      <c r="H48" s="469"/>
      <c r="I48" s="469"/>
      <c r="J48" s="469"/>
      <c r="K48" s="469"/>
      <c r="L48" s="469"/>
      <c r="M48" s="469"/>
      <c r="N48" s="469"/>
      <c r="O48" s="469"/>
      <c r="P48" s="469"/>
      <c r="Q48" s="469"/>
      <c r="R48" s="469"/>
      <c r="S48" s="469"/>
      <c r="T48" s="3"/>
      <c r="U48" s="3"/>
      <c r="V48" s="3"/>
      <c r="W48" s="3"/>
      <c r="X48" s="3"/>
    </row>
    <row r="49" spans="1:24">
      <c r="A49" s="3"/>
      <c r="B49" s="3"/>
      <c r="C49" s="3"/>
      <c r="D49" s="3"/>
      <c r="E49" s="3"/>
      <c r="F49" s="3"/>
      <c r="G49" s="3"/>
      <c r="H49" s="469"/>
      <c r="I49" s="469"/>
      <c r="J49" s="469"/>
      <c r="K49" s="469"/>
      <c r="L49" s="469"/>
      <c r="M49" s="469"/>
      <c r="N49" s="469"/>
      <c r="O49" s="469"/>
      <c r="P49" s="469"/>
      <c r="Q49" s="469"/>
      <c r="R49" s="469"/>
      <c r="S49" s="469"/>
      <c r="T49" s="3"/>
      <c r="U49" s="3"/>
      <c r="V49" s="3"/>
      <c r="W49" s="3"/>
      <c r="X49" s="3"/>
    </row>
    <row r="50" spans="1:24">
      <c r="A50" s="3"/>
      <c r="B50" s="3"/>
      <c r="C50" s="3"/>
      <c r="D50" s="3"/>
      <c r="E50" s="3"/>
      <c r="F50" s="3"/>
      <c r="G50" s="3"/>
      <c r="H50" s="469"/>
      <c r="I50" s="469"/>
      <c r="J50" s="469"/>
      <c r="K50" s="469"/>
      <c r="L50" s="469"/>
      <c r="M50" s="469"/>
      <c r="N50" s="469"/>
      <c r="O50" s="469"/>
      <c r="P50" s="469"/>
      <c r="Q50" s="469"/>
      <c r="R50" s="469"/>
      <c r="S50" s="469"/>
      <c r="T50" s="3"/>
      <c r="U50" s="3"/>
      <c r="V50" s="3"/>
      <c r="W50" s="3"/>
      <c r="X50" s="3"/>
    </row>
    <row r="51" spans="1:24">
      <c r="A51" s="3"/>
      <c r="B51" s="3"/>
      <c r="C51" s="3"/>
      <c r="D51" s="3"/>
      <c r="E51" s="3"/>
      <c r="F51" s="3"/>
      <c r="G51" s="3"/>
      <c r="H51" s="469"/>
      <c r="I51" s="469"/>
      <c r="J51" s="469"/>
      <c r="K51" s="469"/>
      <c r="L51" s="469"/>
      <c r="M51" s="469"/>
      <c r="N51" s="469"/>
      <c r="O51" s="469"/>
      <c r="P51" s="469"/>
      <c r="Q51" s="469"/>
      <c r="R51" s="469"/>
      <c r="S51" s="469"/>
      <c r="T51" s="3"/>
      <c r="U51" s="3"/>
      <c r="V51" s="3"/>
      <c r="W51" s="3"/>
      <c r="X51" s="3"/>
    </row>
    <row r="52" spans="1:24">
      <c r="A52" s="3"/>
      <c r="B52" s="3"/>
      <c r="C52" s="3"/>
      <c r="D52" s="3"/>
      <c r="E52" s="3"/>
      <c r="F52" s="3"/>
      <c r="G52" s="3"/>
      <c r="H52" s="469"/>
      <c r="I52" s="469"/>
      <c r="J52" s="469"/>
      <c r="K52" s="469"/>
      <c r="L52" s="469"/>
      <c r="M52" s="469"/>
      <c r="N52" s="469"/>
      <c r="O52" s="469"/>
      <c r="P52" s="469"/>
      <c r="Q52" s="469"/>
      <c r="R52" s="469"/>
      <c r="S52" s="469"/>
      <c r="T52" s="3"/>
      <c r="U52" s="3"/>
      <c r="V52" s="3"/>
      <c r="W52" s="3"/>
      <c r="X52" s="3"/>
    </row>
    <row r="53" spans="1:24">
      <c r="A53" s="3"/>
      <c r="B53" s="3"/>
      <c r="C53" s="3"/>
      <c r="D53" s="3"/>
      <c r="E53" s="3"/>
      <c r="F53" s="3"/>
      <c r="G53" s="3"/>
      <c r="H53" s="469"/>
      <c r="I53" s="469"/>
      <c r="J53" s="469"/>
      <c r="K53" s="469"/>
      <c r="L53" s="469"/>
      <c r="M53" s="469"/>
      <c r="N53" s="469"/>
      <c r="O53" s="469"/>
      <c r="P53" s="469"/>
      <c r="Q53" s="469"/>
      <c r="R53" s="469"/>
      <c r="S53" s="469"/>
      <c r="T53" s="3"/>
      <c r="U53" s="3"/>
      <c r="V53" s="3"/>
      <c r="W53" s="3"/>
      <c r="X53" s="3"/>
    </row>
    <row r="54" spans="1:24">
      <c r="A54" s="3"/>
      <c r="B54" s="3"/>
      <c r="C54" s="3"/>
      <c r="D54" s="3"/>
      <c r="E54" s="3"/>
      <c r="F54" s="3"/>
      <c r="G54" s="3"/>
      <c r="H54" s="469"/>
      <c r="I54" s="469"/>
      <c r="J54" s="469"/>
      <c r="K54" s="469"/>
      <c r="L54" s="469"/>
      <c r="M54" s="469"/>
      <c r="N54" s="469"/>
      <c r="O54" s="469"/>
      <c r="P54" s="469"/>
      <c r="Q54" s="469"/>
      <c r="R54" s="469"/>
      <c r="S54" s="469"/>
      <c r="T54" s="3"/>
      <c r="U54" s="3"/>
      <c r="V54" s="3"/>
      <c r="W54" s="3"/>
      <c r="X54" s="3"/>
    </row>
  </sheetData>
  <phoneticPr fontId="26" type="noConversion"/>
  <pageMargins left="0.75" right="0.75" top="1" bottom="1" header="0.5" footer="0.5"/>
  <pageSetup paperSize="9" orientation="portrait" horizontalDpi="4294967293" verticalDpi="0"/>
  <headerFooter alignWithMargins="0"/>
  <drawing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indexed="10"/>
  </sheetPr>
  <dimension ref="A1:S169"/>
  <sheetViews>
    <sheetView zoomScale="120" zoomScaleNormal="120" workbookViewId="0">
      <selection activeCell="E5" sqref="E5"/>
    </sheetView>
  </sheetViews>
  <sheetFormatPr defaultColWidth="8.81640625" defaultRowHeight="12.5"/>
  <cols>
    <col min="2" max="2" width="10.1796875" bestFit="1" customWidth="1"/>
    <col min="3" max="3" width="11.453125" customWidth="1"/>
    <col min="11" max="11" width="9.54296875" customWidth="1"/>
  </cols>
  <sheetData>
    <row r="1" spans="1:19" ht="18.5" thickBot="1">
      <c r="A1" s="125" t="s">
        <v>607</v>
      </c>
      <c r="B1" s="127"/>
      <c r="C1" s="127"/>
      <c r="D1" s="127"/>
      <c r="E1" s="127"/>
      <c r="F1" s="127"/>
      <c r="G1" s="127"/>
      <c r="H1" s="127"/>
      <c r="I1" s="127"/>
      <c r="J1" s="611" t="str">
        <f>'Title Page'!F3</f>
        <v>OreSat - CS0</v>
      </c>
      <c r="K1" s="127"/>
      <c r="L1" s="127"/>
      <c r="M1" s="610" t="str">
        <f>'Title Page'!F23</f>
        <v>2019 June 21</v>
      </c>
      <c r="N1" s="127"/>
      <c r="O1" s="127"/>
      <c r="P1" s="127"/>
      <c r="Q1" s="127"/>
      <c r="R1" s="127"/>
      <c r="S1" s="127"/>
    </row>
    <row r="2" spans="1:19">
      <c r="A2" s="233"/>
      <c r="B2" s="598"/>
      <c r="C2" s="598"/>
      <c r="D2" s="598"/>
      <c r="E2" s="598"/>
      <c r="F2" s="598"/>
      <c r="G2" s="598"/>
      <c r="H2" s="598"/>
      <c r="I2" s="598"/>
      <c r="J2" s="598"/>
      <c r="K2" s="598"/>
      <c r="L2" s="598"/>
      <c r="M2" s="598"/>
      <c r="N2" s="598"/>
      <c r="O2" s="598"/>
      <c r="P2" s="598"/>
      <c r="Q2" s="598"/>
      <c r="R2" s="598"/>
      <c r="S2" s="233"/>
    </row>
    <row r="3" spans="1:19">
      <c r="A3" s="233"/>
      <c r="B3" s="623"/>
      <c r="C3" s="598"/>
      <c r="D3" s="598"/>
      <c r="E3" s="598"/>
      <c r="F3" s="598"/>
      <c r="G3" s="598"/>
      <c r="H3" s="598"/>
      <c r="I3" s="598"/>
      <c r="J3" s="598"/>
      <c r="K3" s="598"/>
      <c r="L3" s="598"/>
      <c r="M3" s="598"/>
      <c r="N3" s="598"/>
      <c r="O3" s="598"/>
      <c r="P3" s="598"/>
      <c r="Q3" s="598"/>
      <c r="R3" s="598"/>
      <c r="S3" s="233"/>
    </row>
    <row r="4" spans="1:19">
      <c r="A4" s="233"/>
      <c r="B4" s="598"/>
      <c r="C4" s="598"/>
      <c r="D4" s="598"/>
      <c r="E4" s="598"/>
      <c r="F4" s="598"/>
      <c r="G4" s="598"/>
      <c r="H4" s="598"/>
      <c r="I4" s="598"/>
      <c r="J4" s="598"/>
      <c r="K4" s="598"/>
      <c r="L4" s="598"/>
      <c r="M4" s="598"/>
      <c r="N4" s="598"/>
      <c r="O4" s="598"/>
      <c r="P4" s="598"/>
      <c r="Q4" s="598"/>
      <c r="R4" s="598"/>
      <c r="S4" s="233"/>
    </row>
    <row r="5" spans="1:19" ht="15.5">
      <c r="A5" s="233"/>
      <c r="B5" s="594" t="s">
        <v>608</v>
      </c>
      <c r="C5" s="595"/>
      <c r="D5" s="599"/>
      <c r="E5" s="599"/>
      <c r="F5" s="599"/>
      <c r="G5" s="599"/>
      <c r="H5" s="599"/>
      <c r="I5" s="599"/>
      <c r="J5" s="599"/>
      <c r="K5" s="599"/>
      <c r="L5" s="599"/>
      <c r="M5" s="599"/>
      <c r="N5" s="599"/>
      <c r="O5" s="599"/>
      <c r="P5" s="599"/>
      <c r="Q5" s="599"/>
      <c r="R5" s="599"/>
      <c r="S5" s="233"/>
    </row>
    <row r="6" spans="1:19">
      <c r="A6" s="233"/>
      <c r="B6" s="599"/>
      <c r="C6" s="599"/>
      <c r="D6" s="599"/>
      <c r="E6" s="599"/>
      <c r="F6" s="599"/>
      <c r="G6" s="599"/>
      <c r="H6" s="599"/>
      <c r="I6" s="599"/>
      <c r="J6" s="599"/>
      <c r="K6" s="599"/>
      <c r="L6" s="599"/>
      <c r="M6" s="599"/>
      <c r="N6" s="599"/>
      <c r="O6" s="599"/>
      <c r="P6" s="599"/>
      <c r="Q6" s="599"/>
      <c r="R6" s="599"/>
      <c r="S6" s="233"/>
    </row>
    <row r="7" spans="1:19">
      <c r="A7" s="233"/>
      <c r="B7" s="599" t="s">
        <v>609</v>
      </c>
      <c r="C7" s="599"/>
      <c r="D7" s="599"/>
      <c r="E7" s="599"/>
      <c r="F7" s="599"/>
      <c r="G7" s="599"/>
      <c r="H7" s="599"/>
      <c r="I7" s="599"/>
      <c r="J7" s="599"/>
      <c r="K7" s="599"/>
      <c r="L7" s="599"/>
      <c r="M7" s="599"/>
      <c r="N7" s="599"/>
      <c r="O7" s="599"/>
      <c r="P7" s="599"/>
      <c r="Q7" s="599"/>
      <c r="R7" s="599"/>
      <c r="S7" s="233"/>
    </row>
    <row r="8" spans="1:19">
      <c r="A8" s="233"/>
      <c r="B8" s="599" t="s">
        <v>670</v>
      </c>
      <c r="C8" s="599"/>
      <c r="D8" s="599"/>
      <c r="E8" s="599"/>
      <c r="F8" s="599"/>
      <c r="G8" s="599"/>
      <c r="H8" s="599"/>
      <c r="I8" s="599"/>
      <c r="J8" s="599"/>
      <c r="K8" s="599"/>
      <c r="L8" s="599"/>
      <c r="M8" s="599"/>
      <c r="N8" s="599"/>
      <c r="O8" s="599"/>
      <c r="P8" s="599"/>
      <c r="Q8" s="599"/>
      <c r="R8" s="599"/>
      <c r="S8" s="233"/>
    </row>
    <row r="9" spans="1:19">
      <c r="A9" s="233"/>
      <c r="B9" s="599" t="s">
        <v>693</v>
      </c>
      <c r="C9" s="599"/>
      <c r="D9" s="599"/>
      <c r="E9" s="599"/>
      <c r="F9" s="599"/>
      <c r="G9" s="599"/>
      <c r="H9" s="599"/>
      <c r="I9" s="599"/>
      <c r="J9" s="599"/>
      <c r="K9" s="599"/>
      <c r="L9" s="599"/>
      <c r="M9" s="599"/>
      <c r="N9" s="599"/>
      <c r="O9" s="599"/>
      <c r="P9" s="599"/>
      <c r="Q9" s="599"/>
      <c r="R9" s="599"/>
      <c r="S9" s="233"/>
    </row>
    <row r="10" spans="1:19">
      <c r="A10" s="233"/>
      <c r="B10" s="599" t="s">
        <v>694</v>
      </c>
      <c r="C10" s="599"/>
      <c r="D10" s="599"/>
      <c r="E10" s="599"/>
      <c r="F10" s="599"/>
      <c r="G10" s="599"/>
      <c r="H10" s="599"/>
      <c r="I10" s="599"/>
      <c r="J10" s="599"/>
      <c r="K10" s="599"/>
      <c r="L10" s="599"/>
      <c r="M10" s="599"/>
      <c r="N10" s="599"/>
      <c r="O10" s="599"/>
      <c r="P10" s="599"/>
      <c r="Q10" s="599"/>
      <c r="R10" s="599"/>
      <c r="S10" s="233"/>
    </row>
    <row r="11" spans="1:19">
      <c r="A11" s="233"/>
      <c r="B11" s="599" t="s">
        <v>635</v>
      </c>
      <c r="C11" s="599"/>
      <c r="D11" s="599"/>
      <c r="E11" s="599"/>
      <c r="F11" s="599"/>
      <c r="G11" s="599"/>
      <c r="H11" s="599"/>
      <c r="I11" s="599"/>
      <c r="J11" s="599"/>
      <c r="K11" s="599"/>
      <c r="L11" s="599"/>
      <c r="M11" s="599"/>
      <c r="N11" s="599"/>
      <c r="O11" s="599"/>
      <c r="P11" s="599"/>
      <c r="Q11" s="599"/>
      <c r="R11" s="599"/>
      <c r="S11" s="233"/>
    </row>
    <row r="12" spans="1:19">
      <c r="A12" s="233"/>
      <c r="B12" s="599"/>
      <c r="C12" s="599"/>
      <c r="D12" s="599"/>
      <c r="E12" s="599"/>
      <c r="F12" s="599"/>
      <c r="G12" s="599"/>
      <c r="H12" s="599"/>
      <c r="I12" s="599"/>
      <c r="J12" s="599"/>
      <c r="K12" s="599"/>
      <c r="L12" s="599"/>
      <c r="M12" s="599"/>
      <c r="N12" s="599"/>
      <c r="O12" s="599"/>
      <c r="P12" s="599"/>
      <c r="Q12" s="599"/>
      <c r="R12" s="599"/>
      <c r="S12" s="233"/>
    </row>
    <row r="13" spans="1:19" ht="15.5">
      <c r="A13" s="233"/>
      <c r="B13" s="594" t="s">
        <v>610</v>
      </c>
      <c r="C13" s="596"/>
      <c r="D13" s="595"/>
      <c r="E13" s="599"/>
      <c r="F13" s="599"/>
      <c r="G13" s="599"/>
      <c r="H13" s="599"/>
      <c r="I13" s="599"/>
      <c r="J13" s="599"/>
      <c r="K13" s="599"/>
      <c r="L13" s="599"/>
      <c r="M13" s="599"/>
      <c r="N13" s="599"/>
      <c r="O13" s="599"/>
      <c r="P13" s="599"/>
      <c r="Q13" s="599"/>
      <c r="R13" s="599"/>
      <c r="S13" s="233"/>
    </row>
    <row r="14" spans="1:19">
      <c r="A14" s="233"/>
      <c r="B14" s="599"/>
      <c r="C14" s="599"/>
      <c r="D14" s="599"/>
      <c r="E14" s="599"/>
      <c r="F14" s="599"/>
      <c r="G14" s="599"/>
      <c r="H14" s="599"/>
      <c r="I14" s="599"/>
      <c r="J14" s="599"/>
      <c r="K14" s="599"/>
      <c r="L14" s="599"/>
      <c r="M14" s="599"/>
      <c r="N14" s="599"/>
      <c r="O14" s="599"/>
      <c r="P14" s="599"/>
      <c r="Q14" s="599"/>
      <c r="R14" s="599"/>
      <c r="S14" s="233"/>
    </row>
    <row r="15" spans="1:19" ht="13">
      <c r="A15" s="233"/>
      <c r="B15" s="599"/>
      <c r="C15" s="597" t="s">
        <v>611</v>
      </c>
      <c r="D15" s="599" t="s">
        <v>661</v>
      </c>
      <c r="E15" s="599"/>
      <c r="F15" s="599"/>
      <c r="G15" s="599"/>
      <c r="H15" s="599"/>
      <c r="I15" s="599"/>
      <c r="J15" s="599"/>
      <c r="K15" s="599"/>
      <c r="L15" s="599"/>
      <c r="M15" s="599"/>
      <c r="N15" s="599"/>
      <c r="O15" s="599"/>
      <c r="P15" s="599"/>
      <c r="Q15" s="599"/>
      <c r="R15" s="599"/>
      <c r="S15" s="233"/>
    </row>
    <row r="16" spans="1:19">
      <c r="A16" s="233"/>
      <c r="B16" s="233"/>
      <c r="C16" s="233" t="s">
        <v>627</v>
      </c>
      <c r="D16" s="233"/>
      <c r="E16" s="233"/>
      <c r="F16" s="233"/>
      <c r="G16" s="233"/>
      <c r="H16" s="233"/>
      <c r="I16" s="233"/>
      <c r="J16" s="233"/>
      <c r="K16" s="233"/>
      <c r="L16" s="233"/>
      <c r="M16" s="233"/>
      <c r="N16" s="233"/>
      <c r="O16" s="233"/>
      <c r="P16" s="233"/>
      <c r="Q16" s="233"/>
      <c r="R16" s="233"/>
      <c r="S16" s="233"/>
    </row>
    <row r="17" spans="1:19">
      <c r="A17" s="233"/>
      <c r="B17" s="233"/>
      <c r="C17" s="233" t="s">
        <v>612</v>
      </c>
      <c r="D17" s="233"/>
      <c r="E17" s="233"/>
      <c r="F17" s="233"/>
      <c r="G17" s="233"/>
      <c r="H17" s="233"/>
      <c r="I17" s="233"/>
      <c r="J17" s="233"/>
      <c r="K17" s="233"/>
      <c r="L17" s="233"/>
      <c r="M17" s="233"/>
      <c r="N17" s="233"/>
      <c r="O17" s="233"/>
      <c r="P17" s="233"/>
      <c r="Q17" s="233"/>
      <c r="R17" s="233"/>
      <c r="S17" s="233"/>
    </row>
    <row r="18" spans="1:19">
      <c r="A18" s="233"/>
      <c r="B18" s="233"/>
      <c r="C18" s="233" t="s">
        <v>626</v>
      </c>
      <c r="D18" s="233"/>
      <c r="E18" s="233"/>
      <c r="F18" s="233"/>
      <c r="G18" s="233"/>
      <c r="H18" s="233"/>
      <c r="I18" s="233"/>
      <c r="J18" s="233"/>
      <c r="K18" s="233"/>
      <c r="L18" s="233"/>
      <c r="M18" s="233"/>
      <c r="N18" s="233"/>
      <c r="O18" s="233"/>
      <c r="P18" s="233"/>
      <c r="Q18" s="233"/>
      <c r="R18" s="233"/>
      <c r="S18" s="233"/>
    </row>
    <row r="19" spans="1:19">
      <c r="A19" s="233"/>
      <c r="B19" s="233"/>
      <c r="C19" s="233" t="s">
        <v>613</v>
      </c>
      <c r="D19" s="233"/>
      <c r="E19" s="233"/>
      <c r="F19" s="233"/>
      <c r="G19" s="233"/>
      <c r="H19" s="233"/>
      <c r="I19" s="233"/>
      <c r="J19" s="233"/>
      <c r="K19" s="233"/>
      <c r="L19" s="233"/>
      <c r="M19" s="233"/>
      <c r="N19" s="233"/>
      <c r="O19" s="233"/>
      <c r="P19" s="233"/>
      <c r="Q19" s="233"/>
      <c r="R19" s="233"/>
      <c r="S19" s="233"/>
    </row>
    <row r="20" spans="1:19">
      <c r="A20" s="233"/>
      <c r="B20" s="233"/>
      <c r="C20" t="s">
        <v>614</v>
      </c>
      <c r="H20" s="3"/>
      <c r="I20" t="s">
        <v>615</v>
      </c>
      <c r="J20" s="573"/>
      <c r="K20" t="s">
        <v>616</v>
      </c>
      <c r="L20" s="419"/>
      <c r="M20" s="233" t="s">
        <v>617</v>
      </c>
      <c r="N20" s="233"/>
      <c r="O20" s="233"/>
      <c r="P20" s="233"/>
      <c r="Q20" s="233"/>
      <c r="R20" s="233"/>
      <c r="S20" s="233"/>
    </row>
    <row r="21" spans="1:19">
      <c r="A21" s="233"/>
      <c r="B21" s="233"/>
      <c r="C21" s="233" t="s">
        <v>682</v>
      </c>
      <c r="D21" s="233"/>
      <c r="E21" s="233"/>
      <c r="F21" s="233"/>
      <c r="G21" s="233"/>
      <c r="H21" s="233"/>
      <c r="I21" s="233"/>
      <c r="J21" s="233"/>
      <c r="K21" s="233"/>
      <c r="L21" s="233"/>
      <c r="M21" s="233"/>
      <c r="N21" s="233"/>
      <c r="O21" s="233"/>
      <c r="P21" s="233"/>
      <c r="Q21" s="233"/>
      <c r="R21" s="233"/>
      <c r="S21" s="233"/>
    </row>
    <row r="22" spans="1:19">
      <c r="A22" s="233"/>
      <c r="B22" s="233"/>
      <c r="C22" s="233"/>
      <c r="D22" s="233"/>
      <c r="E22" s="233"/>
      <c r="F22" s="233"/>
      <c r="G22" s="233"/>
      <c r="H22" s="233"/>
      <c r="I22" s="233"/>
      <c r="J22" s="233"/>
      <c r="K22" s="233"/>
      <c r="L22" s="233"/>
      <c r="M22" s="233"/>
      <c r="N22" s="233"/>
      <c r="O22" s="233"/>
      <c r="P22" s="233"/>
      <c r="Q22" s="233"/>
      <c r="R22" s="233"/>
      <c r="S22" s="233"/>
    </row>
    <row r="23" spans="1:19">
      <c r="A23" s="233"/>
      <c r="B23" s="233"/>
      <c r="C23" s="233"/>
      <c r="D23" s="345" t="s">
        <v>140</v>
      </c>
      <c r="E23" s="233" t="s">
        <v>660</v>
      </c>
      <c r="F23" s="233"/>
      <c r="G23" s="233"/>
      <c r="H23" s="233"/>
      <c r="I23" s="233"/>
      <c r="J23" s="233"/>
      <c r="K23" s="233"/>
      <c r="L23" s="233"/>
      <c r="M23" s="233"/>
      <c r="N23" s="233"/>
      <c r="O23" s="233"/>
      <c r="P23" s="233"/>
      <c r="Q23" s="233"/>
      <c r="R23" s="233"/>
      <c r="S23" s="233"/>
    </row>
    <row r="24" spans="1:19">
      <c r="A24" s="233"/>
      <c r="B24" s="233"/>
      <c r="C24" s="233"/>
      <c r="D24" s="233" t="s">
        <v>618</v>
      </c>
      <c r="E24" s="233"/>
      <c r="F24" s="233"/>
      <c r="G24" s="233"/>
      <c r="H24" s="233"/>
      <c r="I24" s="233"/>
      <c r="J24" s="233"/>
      <c r="K24" s="233"/>
      <c r="L24" s="233"/>
      <c r="M24" s="233"/>
      <c r="N24" s="233"/>
      <c r="O24" s="233"/>
      <c r="P24" s="233"/>
      <c r="Q24" s="233"/>
      <c r="R24" s="233"/>
      <c r="S24" s="233"/>
    </row>
    <row r="25" spans="1:19">
      <c r="A25" s="233"/>
      <c r="B25" s="233"/>
      <c r="C25" s="233"/>
      <c r="D25" s="233" t="s">
        <v>619</v>
      </c>
      <c r="E25" s="233"/>
      <c r="F25" s="233"/>
      <c r="G25" s="233"/>
      <c r="H25" s="233"/>
      <c r="I25" s="233"/>
      <c r="J25" s="233"/>
      <c r="K25" s="233"/>
      <c r="L25" s="233"/>
      <c r="M25" s="233"/>
      <c r="N25" s="233"/>
      <c r="O25" s="233"/>
      <c r="P25" s="233"/>
      <c r="Q25" s="233"/>
      <c r="R25" s="233"/>
      <c r="S25" s="233"/>
    </row>
    <row r="26" spans="1:19">
      <c r="A26" s="233"/>
      <c r="B26" s="233"/>
      <c r="C26" s="233"/>
      <c r="D26" s="233" t="s">
        <v>621</v>
      </c>
      <c r="E26" s="233"/>
      <c r="F26" s="233"/>
      <c r="G26" s="233"/>
      <c r="H26" s="233"/>
      <c r="I26" s="233"/>
      <c r="J26" s="233"/>
      <c r="K26" s="233"/>
      <c r="L26" s="233"/>
      <c r="M26" s="233"/>
      <c r="N26" s="233"/>
      <c r="O26" s="233"/>
      <c r="P26" s="233"/>
      <c r="Q26" s="233"/>
      <c r="R26" s="233"/>
      <c r="S26" s="233"/>
    </row>
    <row r="27" spans="1:19">
      <c r="A27" s="233"/>
      <c r="B27" s="233"/>
      <c r="C27" s="233"/>
      <c r="D27" s="233" t="s">
        <v>620</v>
      </c>
      <c r="E27" s="233"/>
      <c r="F27" s="233"/>
      <c r="G27" s="233"/>
      <c r="H27" s="233"/>
      <c r="I27" s="233"/>
      <c r="J27" s="233"/>
      <c r="K27" s="233"/>
      <c r="L27" s="233"/>
      <c r="M27" s="233"/>
      <c r="N27" s="233"/>
      <c r="O27" s="233"/>
      <c r="P27" s="233"/>
      <c r="Q27" s="233"/>
      <c r="R27" s="233"/>
      <c r="S27" s="233"/>
    </row>
    <row r="28" spans="1:19">
      <c r="A28" s="233"/>
      <c r="B28" s="233"/>
      <c r="C28" s="233"/>
      <c r="D28" s="233" t="s">
        <v>349</v>
      </c>
      <c r="E28" s="233"/>
      <c r="F28" s="233"/>
      <c r="G28" s="233"/>
      <c r="H28" s="233"/>
      <c r="I28" s="233"/>
      <c r="J28" s="233"/>
      <c r="K28" s="233"/>
      <c r="L28" s="233"/>
      <c r="M28" s="233"/>
      <c r="N28" s="233"/>
      <c r="O28" s="233"/>
      <c r="P28" s="233"/>
      <c r="Q28" s="233"/>
      <c r="R28" s="233"/>
      <c r="S28" s="233"/>
    </row>
    <row r="29" spans="1:19">
      <c r="A29" s="233"/>
      <c r="B29" s="233"/>
      <c r="C29" s="233"/>
      <c r="D29" s="233" t="s">
        <v>464</v>
      </c>
      <c r="E29" s="233"/>
      <c r="F29" s="233"/>
      <c r="G29" s="233"/>
      <c r="H29" s="233"/>
      <c r="I29" s="233"/>
      <c r="J29" s="233"/>
      <c r="K29" s="233"/>
      <c r="L29" s="233"/>
      <c r="M29" s="233"/>
      <c r="N29" s="233"/>
      <c r="O29" s="233"/>
      <c r="P29" s="233"/>
      <c r="Q29" s="233"/>
      <c r="R29" s="233"/>
      <c r="S29" s="233"/>
    </row>
    <row r="30" spans="1:19">
      <c r="A30" s="233"/>
      <c r="B30" s="233"/>
      <c r="C30" s="233"/>
      <c r="D30" s="233" t="s">
        <v>622</v>
      </c>
      <c r="E30" s="233"/>
      <c r="F30" s="233"/>
      <c r="G30" s="233"/>
      <c r="H30" s="233"/>
      <c r="I30" s="233"/>
      <c r="J30" s="233"/>
      <c r="K30" s="233"/>
      <c r="L30" s="233"/>
      <c r="M30" s="233"/>
      <c r="N30" s="233"/>
      <c r="O30" s="233"/>
      <c r="P30" s="233"/>
      <c r="Q30" s="233"/>
      <c r="R30" s="233"/>
      <c r="S30" s="233"/>
    </row>
    <row r="31" spans="1:19">
      <c r="A31" s="233"/>
      <c r="B31" s="233"/>
      <c r="C31" s="233"/>
      <c r="D31" s="233" t="s">
        <v>335</v>
      </c>
      <c r="E31" s="233"/>
      <c r="F31" s="233"/>
      <c r="G31" s="233"/>
      <c r="H31" s="233"/>
      <c r="I31" s="233"/>
      <c r="J31" s="233"/>
      <c r="K31" s="233"/>
      <c r="L31" s="233"/>
      <c r="M31" s="233"/>
      <c r="N31" s="233"/>
      <c r="O31" s="233"/>
      <c r="P31" s="233"/>
      <c r="Q31" s="233"/>
      <c r="R31" s="233"/>
      <c r="S31" s="233"/>
    </row>
    <row r="32" spans="1:19">
      <c r="A32" s="233"/>
      <c r="B32" s="233"/>
      <c r="C32" s="233"/>
      <c r="D32" s="233" t="s">
        <v>336</v>
      </c>
      <c r="E32" s="233"/>
      <c r="F32" s="233"/>
      <c r="G32" s="233"/>
      <c r="H32" s="233"/>
      <c r="I32" s="233"/>
      <c r="J32" s="233"/>
      <c r="K32" s="233"/>
      <c r="L32" s="233"/>
      <c r="M32" s="233"/>
      <c r="N32" s="233"/>
      <c r="O32" s="233"/>
      <c r="P32" s="233"/>
      <c r="Q32" s="233"/>
      <c r="R32" s="233"/>
      <c r="S32" s="233"/>
    </row>
    <row r="33" spans="1:19">
      <c r="A33" s="233"/>
      <c r="B33" s="233"/>
      <c r="C33" s="233"/>
      <c r="D33" s="233" t="s">
        <v>337</v>
      </c>
      <c r="E33" s="233"/>
      <c r="F33" s="233"/>
      <c r="G33" s="233"/>
      <c r="H33" s="233"/>
      <c r="I33" s="233"/>
      <c r="J33" s="233"/>
      <c r="K33" s="233"/>
      <c r="L33" s="233"/>
      <c r="M33" s="233"/>
      <c r="N33" s="233"/>
      <c r="O33" s="233"/>
      <c r="P33" s="233"/>
      <c r="Q33" s="233"/>
      <c r="R33" s="233"/>
      <c r="S33" s="233"/>
    </row>
    <row r="34" spans="1:19">
      <c r="A34" s="233"/>
      <c r="B34" s="233"/>
      <c r="C34" s="233"/>
      <c r="D34" s="233" t="s">
        <v>338</v>
      </c>
      <c r="E34" s="233"/>
      <c r="F34" s="233"/>
      <c r="G34" s="233"/>
      <c r="H34" s="233"/>
      <c r="I34" s="233"/>
      <c r="J34" s="233"/>
      <c r="K34" s="233"/>
      <c r="L34" s="233"/>
      <c r="M34" s="233"/>
      <c r="N34" s="233"/>
      <c r="O34" s="233"/>
      <c r="P34" s="233"/>
      <c r="Q34" s="233"/>
      <c r="R34" s="233"/>
      <c r="S34" s="233"/>
    </row>
    <row r="35" spans="1:19">
      <c r="A35" s="233"/>
      <c r="B35" s="233"/>
      <c r="C35" s="233"/>
      <c r="D35" s="233" t="s">
        <v>339</v>
      </c>
      <c r="E35" s="233"/>
      <c r="F35" s="233"/>
      <c r="G35" s="233"/>
      <c r="H35" s="233"/>
      <c r="I35" s="233"/>
      <c r="J35" s="233"/>
      <c r="K35" s="233"/>
      <c r="L35" s="233"/>
      <c r="M35" s="233"/>
      <c r="N35" s="233"/>
      <c r="O35" s="233"/>
      <c r="P35" s="233"/>
      <c r="Q35" s="233"/>
      <c r="R35" s="233"/>
      <c r="S35" s="233"/>
    </row>
    <row r="36" spans="1:19">
      <c r="A36" s="233"/>
      <c r="B36" s="233"/>
      <c r="C36" s="233"/>
      <c r="D36" s="233" t="s">
        <v>340</v>
      </c>
      <c r="E36" s="233"/>
      <c r="F36" s="233"/>
      <c r="G36" s="233"/>
      <c r="H36" s="233"/>
      <c r="I36" s="233"/>
      <c r="J36" s="233"/>
      <c r="K36" s="233"/>
      <c r="L36" s="233"/>
      <c r="M36" s="233"/>
      <c r="N36" s="233"/>
      <c r="O36" s="233"/>
      <c r="P36" s="233"/>
      <c r="Q36" s="233"/>
      <c r="R36" s="233"/>
      <c r="S36" s="233"/>
    </row>
    <row r="37" spans="1:19">
      <c r="A37" s="233"/>
      <c r="B37" s="233"/>
      <c r="C37" s="233"/>
      <c r="D37" s="233"/>
      <c r="E37" s="233"/>
      <c r="F37" s="233"/>
      <c r="G37" s="233"/>
      <c r="H37" s="233"/>
      <c r="I37" s="233"/>
      <c r="J37" s="233"/>
      <c r="K37" s="233"/>
      <c r="L37" s="233"/>
      <c r="M37" s="233"/>
      <c r="N37" s="233"/>
      <c r="O37" s="233"/>
      <c r="P37" s="233"/>
      <c r="Q37" s="233"/>
      <c r="R37" s="233"/>
      <c r="S37" s="233"/>
    </row>
    <row r="38" spans="1:19">
      <c r="A38" s="233"/>
      <c r="B38" s="233"/>
      <c r="D38" s="264" t="s">
        <v>624</v>
      </c>
      <c r="E38" s="233" t="s">
        <v>646</v>
      </c>
      <c r="F38" s="233"/>
      <c r="G38" s="233"/>
      <c r="H38" s="233"/>
      <c r="I38" s="233"/>
      <c r="J38" s="233"/>
      <c r="K38" s="233"/>
      <c r="L38" s="233"/>
      <c r="M38" s="233"/>
      <c r="N38" s="233"/>
      <c r="O38" s="233"/>
      <c r="P38" s="233"/>
      <c r="Q38" s="233"/>
      <c r="R38" s="233"/>
      <c r="S38" s="233"/>
    </row>
    <row r="39" spans="1:19">
      <c r="A39" s="233"/>
      <c r="B39" s="233"/>
      <c r="C39" s="233"/>
      <c r="D39" s="233" t="s">
        <v>350</v>
      </c>
      <c r="E39" s="233"/>
      <c r="F39" s="233"/>
      <c r="G39" s="233"/>
      <c r="H39" s="233"/>
      <c r="I39" s="233"/>
      <c r="J39" s="233"/>
      <c r="K39" s="233"/>
      <c r="L39" s="233"/>
      <c r="M39" s="233"/>
      <c r="N39" s="233"/>
      <c r="O39" s="233"/>
      <c r="P39" s="233"/>
      <c r="Q39" s="233"/>
      <c r="R39" s="233"/>
      <c r="S39" s="233"/>
    </row>
    <row r="40" spans="1:19">
      <c r="A40" s="233"/>
      <c r="B40" s="233"/>
      <c r="C40" s="233"/>
      <c r="D40" s="233" t="s">
        <v>625</v>
      </c>
      <c r="E40" s="233"/>
      <c r="F40" s="233"/>
      <c r="G40" s="233"/>
      <c r="H40" s="233"/>
      <c r="I40" s="233"/>
      <c r="J40" s="233"/>
      <c r="K40" s="233"/>
      <c r="L40" s="233"/>
      <c r="M40" s="233"/>
      <c r="N40" s="233"/>
      <c r="O40" s="233"/>
      <c r="P40" s="233"/>
      <c r="Q40" s="233"/>
      <c r="R40" s="233"/>
      <c r="S40" s="233"/>
    </row>
    <row r="41" spans="1:19">
      <c r="A41" s="233"/>
      <c r="B41" s="233"/>
      <c r="C41" s="233"/>
      <c r="D41" s="233"/>
      <c r="E41" s="233"/>
      <c r="F41" s="233"/>
      <c r="G41" s="233"/>
      <c r="H41" s="233"/>
      <c r="I41" s="233"/>
      <c r="J41" s="233"/>
      <c r="K41" s="233"/>
      <c r="L41" s="233"/>
      <c r="M41" s="233"/>
      <c r="N41" s="233"/>
      <c r="O41" s="233"/>
      <c r="P41" s="233"/>
      <c r="Q41" s="233"/>
      <c r="R41" s="233"/>
      <c r="S41" s="233"/>
    </row>
    <row r="42" spans="1:19">
      <c r="A42" s="233"/>
      <c r="B42" s="619"/>
      <c r="C42" s="233"/>
      <c r="D42" s="574" t="s">
        <v>624</v>
      </c>
      <c r="E42" s="233" t="s">
        <v>351</v>
      </c>
      <c r="F42" s="233"/>
      <c r="G42" s="233"/>
      <c r="H42" s="233"/>
      <c r="I42" s="233"/>
      <c r="J42" s="233"/>
      <c r="K42" s="233"/>
      <c r="L42" s="233"/>
      <c r="M42" s="233"/>
      <c r="N42" s="233"/>
      <c r="O42" s="233"/>
      <c r="P42" s="233"/>
      <c r="Q42" s="233"/>
      <c r="R42" s="233"/>
      <c r="S42" s="233"/>
    </row>
    <row r="43" spans="1:19">
      <c r="A43" s="233"/>
      <c r="B43" s="233"/>
      <c r="C43" s="233"/>
      <c r="D43" s="620"/>
      <c r="E43" s="233" t="s">
        <v>352</v>
      </c>
      <c r="F43" s="233"/>
      <c r="G43" s="233"/>
      <c r="H43" s="233"/>
      <c r="I43" s="233"/>
      <c r="J43" s="233"/>
      <c r="K43" s="233"/>
      <c r="L43" s="233"/>
      <c r="M43" s="233"/>
      <c r="N43" s="233"/>
      <c r="O43" s="233"/>
      <c r="P43" s="233"/>
      <c r="Q43" s="233"/>
      <c r="R43" s="233"/>
      <c r="S43" s="233"/>
    </row>
    <row r="44" spans="1:19">
      <c r="A44" s="233"/>
      <c r="B44" s="233"/>
      <c r="C44" s="233"/>
      <c r="D44" s="618"/>
      <c r="E44" s="233"/>
      <c r="F44" s="233"/>
      <c r="G44" s="233"/>
      <c r="H44" s="233"/>
      <c r="I44" s="233"/>
      <c r="J44" s="233"/>
      <c r="K44" s="233"/>
      <c r="L44" s="233"/>
      <c r="M44" s="233"/>
      <c r="N44" s="233"/>
      <c r="O44" s="233"/>
      <c r="P44" s="233"/>
      <c r="Q44" s="233"/>
      <c r="R44" s="233"/>
      <c r="S44" s="233"/>
    </row>
    <row r="45" spans="1:19" ht="13">
      <c r="A45" s="233"/>
      <c r="B45" s="233"/>
      <c r="C45" s="233"/>
      <c r="D45" s="621" t="s">
        <v>624</v>
      </c>
      <c r="E45" s="233" t="s">
        <v>645</v>
      </c>
      <c r="F45" s="233"/>
      <c r="G45" s="233"/>
      <c r="H45" s="233"/>
      <c r="I45" s="233"/>
      <c r="J45" s="233"/>
      <c r="K45" s="233"/>
      <c r="L45" s="233"/>
      <c r="M45" s="233"/>
      <c r="N45" s="233"/>
      <c r="O45" s="233"/>
      <c r="P45" s="233"/>
      <c r="Q45" s="233"/>
      <c r="R45" s="233"/>
      <c r="S45" s="233"/>
    </row>
    <row r="46" spans="1:19">
      <c r="A46" s="233"/>
      <c r="B46" s="233"/>
      <c r="C46" s="233"/>
      <c r="D46" s="233" t="s">
        <v>628</v>
      </c>
      <c r="E46" s="233"/>
      <c r="F46" s="233"/>
      <c r="G46" s="233"/>
      <c r="H46" s="233"/>
      <c r="I46" s="233"/>
      <c r="J46" s="233"/>
      <c r="K46" s="233"/>
      <c r="L46" s="233"/>
      <c r="M46" s="233"/>
      <c r="N46" s="233"/>
      <c r="O46" s="233"/>
      <c r="P46" s="233"/>
      <c r="Q46" s="233"/>
      <c r="R46" s="233"/>
      <c r="S46" s="233"/>
    </row>
    <row r="47" spans="1:19">
      <c r="A47" s="233"/>
      <c r="B47" s="233"/>
      <c r="C47" s="233"/>
      <c r="D47" s="233"/>
      <c r="E47" s="233"/>
      <c r="F47" s="233"/>
      <c r="G47" s="233"/>
      <c r="H47" s="233"/>
      <c r="I47" s="233"/>
      <c r="J47" s="233"/>
      <c r="K47" s="233"/>
      <c r="L47" s="233"/>
      <c r="M47" s="233"/>
      <c r="N47" s="233"/>
      <c r="O47" s="233"/>
      <c r="P47" s="233"/>
      <c r="Q47" s="233"/>
      <c r="R47" s="233"/>
      <c r="S47" s="233"/>
    </row>
    <row r="48" spans="1:19">
      <c r="A48" s="233"/>
      <c r="B48" s="233"/>
      <c r="C48" s="233"/>
      <c r="D48" s="345" t="s">
        <v>624</v>
      </c>
      <c r="E48" s="245" t="s">
        <v>228</v>
      </c>
      <c r="F48" s="575" t="s">
        <v>624</v>
      </c>
      <c r="G48" s="233" t="s">
        <v>341</v>
      </c>
      <c r="H48" s="233"/>
      <c r="I48" s="233"/>
      <c r="J48" s="233"/>
      <c r="K48" s="233"/>
      <c r="L48" s="233"/>
      <c r="M48" s="233"/>
      <c r="N48" s="233"/>
      <c r="O48" s="233"/>
      <c r="P48" s="233"/>
      <c r="Q48" s="233"/>
      <c r="R48" s="233"/>
      <c r="S48" s="233"/>
    </row>
    <row r="49" spans="1:19">
      <c r="A49" s="233"/>
      <c r="B49" s="233"/>
      <c r="C49" s="233"/>
      <c r="D49" s="233" t="s">
        <v>344</v>
      </c>
      <c r="E49" s="233"/>
      <c r="F49" s="233"/>
      <c r="G49" s="233"/>
      <c r="H49" s="233"/>
      <c r="I49" s="233"/>
      <c r="J49" s="233"/>
      <c r="K49" s="233"/>
      <c r="L49" s="233"/>
      <c r="M49" s="233"/>
      <c r="N49" s="233"/>
      <c r="O49" s="233"/>
      <c r="P49" s="233"/>
      <c r="Q49" s="233"/>
      <c r="R49" s="233"/>
      <c r="S49" s="233"/>
    </row>
    <row r="50" spans="1:19" ht="13" thickBot="1">
      <c r="A50" s="233"/>
      <c r="B50" s="233"/>
      <c r="C50" s="233"/>
      <c r="D50" s="233"/>
      <c r="E50" s="233"/>
      <c r="F50" s="233"/>
      <c r="G50" s="233"/>
      <c r="H50" s="233"/>
      <c r="I50" s="233"/>
      <c r="J50" s="233"/>
      <c r="K50" s="233"/>
      <c r="L50" s="233"/>
      <c r="M50" s="233"/>
      <c r="N50" s="233"/>
      <c r="O50" s="233"/>
      <c r="P50" s="233"/>
      <c r="Q50" s="233"/>
      <c r="R50" s="233"/>
      <c r="S50" s="233"/>
    </row>
    <row r="51" spans="1:19" ht="13.5" thickBot="1">
      <c r="A51" s="233"/>
      <c r="B51" s="233"/>
      <c r="C51" s="233"/>
      <c r="D51" s="48" t="s">
        <v>624</v>
      </c>
      <c r="E51" s="233" t="s">
        <v>642</v>
      </c>
      <c r="F51" s="233"/>
      <c r="G51" s="233"/>
      <c r="H51" s="233"/>
      <c r="I51" s="233"/>
      <c r="J51" s="233"/>
      <c r="K51" s="233"/>
      <c r="L51" s="233"/>
      <c r="M51" s="233"/>
      <c r="N51" s="233"/>
      <c r="O51" s="233"/>
      <c r="P51" s="233"/>
      <c r="Q51" s="233"/>
      <c r="R51" s="233"/>
      <c r="S51" s="233"/>
    </row>
    <row r="52" spans="1:19">
      <c r="A52" s="233"/>
      <c r="B52" s="233"/>
      <c r="C52" s="233"/>
      <c r="E52" s="233"/>
      <c r="F52" s="233"/>
      <c r="G52" s="233"/>
      <c r="H52" s="233"/>
      <c r="I52" s="233"/>
      <c r="J52" s="233"/>
      <c r="K52" s="233"/>
      <c r="L52" s="233"/>
      <c r="M52" s="233"/>
      <c r="N52" s="233"/>
      <c r="O52" s="233"/>
      <c r="P52" s="233"/>
      <c r="Q52" s="233"/>
      <c r="R52" s="233"/>
      <c r="S52" s="233"/>
    </row>
    <row r="53" spans="1:19" ht="13">
      <c r="A53" s="233"/>
      <c r="B53" s="233"/>
      <c r="C53" s="233"/>
      <c r="D53" s="576" t="s">
        <v>733</v>
      </c>
      <c r="E53" s="245" t="s">
        <v>228</v>
      </c>
      <c r="F53" s="577" t="s">
        <v>733</v>
      </c>
      <c r="G53" s="18" t="s">
        <v>228</v>
      </c>
      <c r="H53" s="578" t="s">
        <v>733</v>
      </c>
      <c r="I53" t="s">
        <v>636</v>
      </c>
      <c r="Q53" s="86"/>
      <c r="R53" s="86"/>
      <c r="S53" s="233"/>
    </row>
    <row r="54" spans="1:19">
      <c r="A54" s="233"/>
      <c r="B54" s="233"/>
      <c r="C54" s="233"/>
      <c r="D54" s="233" t="s">
        <v>629</v>
      </c>
      <c r="E54" s="233"/>
      <c r="F54" s="233"/>
      <c r="G54" s="233"/>
      <c r="H54" s="233"/>
      <c r="I54" s="233"/>
      <c r="J54" s="233"/>
      <c r="K54" s="233"/>
      <c r="L54" s="233"/>
      <c r="M54" s="233"/>
      <c r="N54" s="233"/>
      <c r="O54" s="233"/>
      <c r="P54" s="233"/>
      <c r="Q54" s="233"/>
      <c r="R54" s="233"/>
      <c r="S54" s="233"/>
    </row>
    <row r="55" spans="1:19">
      <c r="A55" s="233"/>
      <c r="B55" s="233"/>
      <c r="C55" s="233"/>
      <c r="D55" s="233" t="s">
        <v>630</v>
      </c>
      <c r="E55" s="233"/>
      <c r="F55" s="233"/>
      <c r="G55" s="233"/>
      <c r="H55" s="233"/>
      <c r="I55" s="233"/>
      <c r="J55" s="233"/>
      <c r="K55" s="233"/>
      <c r="L55" s="233"/>
      <c r="M55" s="233"/>
      <c r="N55" s="233"/>
      <c r="O55" s="233"/>
      <c r="P55" s="233"/>
      <c r="Q55" s="233"/>
      <c r="R55" s="233"/>
      <c r="S55" s="233"/>
    </row>
    <row r="56" spans="1:19">
      <c r="A56" s="233"/>
      <c r="B56" s="233"/>
      <c r="C56" s="233"/>
      <c r="D56" s="233" t="s">
        <v>465</v>
      </c>
      <c r="E56" s="233"/>
      <c r="F56" s="233"/>
      <c r="G56" s="233"/>
      <c r="H56" s="233"/>
      <c r="I56" s="233"/>
      <c r="J56" s="233"/>
      <c r="K56" s="233"/>
      <c r="L56" s="233"/>
      <c r="M56" s="233"/>
      <c r="N56" s="233"/>
      <c r="O56" s="233"/>
      <c r="P56" s="233"/>
      <c r="Q56" s="233"/>
      <c r="R56" s="233"/>
      <c r="S56" s="233"/>
    </row>
    <row r="57" spans="1:19">
      <c r="A57" s="233"/>
      <c r="B57" s="233"/>
      <c r="C57" s="233"/>
      <c r="D57" s="233"/>
      <c r="E57" s="233"/>
      <c r="F57" s="233"/>
      <c r="G57" s="233"/>
      <c r="H57" s="233"/>
      <c r="I57" s="233"/>
      <c r="J57" s="233"/>
      <c r="K57" s="233"/>
      <c r="L57" s="233"/>
      <c r="M57" s="233"/>
      <c r="N57" s="233"/>
      <c r="O57" s="233"/>
      <c r="P57" s="233"/>
      <c r="Q57" s="233"/>
      <c r="R57" s="233"/>
      <c r="S57" s="233"/>
    </row>
    <row r="58" spans="1:19" ht="13">
      <c r="A58" s="233"/>
      <c r="B58" s="233"/>
      <c r="C58" s="233"/>
      <c r="D58" s="247" t="s">
        <v>631</v>
      </c>
      <c r="E58" s="248"/>
      <c r="F58" t="s">
        <v>639</v>
      </c>
      <c r="K58" s="86"/>
      <c r="L58" s="86"/>
      <c r="M58" s="86"/>
      <c r="N58" s="86"/>
      <c r="O58" s="86"/>
      <c r="P58" s="86"/>
      <c r="Q58" s="86"/>
      <c r="R58" s="86"/>
      <c r="S58" s="233"/>
    </row>
    <row r="59" spans="1:19">
      <c r="A59" s="233"/>
      <c r="B59" s="233"/>
      <c r="C59" s="233"/>
      <c r="E59" s="233"/>
      <c r="F59" s="233"/>
      <c r="G59" s="233"/>
      <c r="H59" s="233"/>
      <c r="I59" s="233"/>
      <c r="J59" s="233"/>
      <c r="K59" s="233"/>
      <c r="L59" s="233"/>
      <c r="M59" s="233"/>
      <c r="N59" s="233"/>
      <c r="O59" s="233"/>
      <c r="P59" s="233"/>
      <c r="Q59" s="233"/>
      <c r="R59" s="233"/>
      <c r="S59" s="233"/>
    </row>
    <row r="60" spans="1:19">
      <c r="A60" s="233"/>
      <c r="B60" s="233"/>
      <c r="C60" s="233"/>
      <c r="D60" s="622" t="s">
        <v>624</v>
      </c>
      <c r="E60" s="233" t="s">
        <v>638</v>
      </c>
      <c r="F60" s="233"/>
      <c r="G60" s="233"/>
      <c r="H60" s="233"/>
      <c r="I60" s="233"/>
      <c r="J60" s="233"/>
      <c r="K60" s="233"/>
      <c r="L60" s="233"/>
      <c r="M60" s="233"/>
      <c r="N60" s="233"/>
      <c r="O60" s="233"/>
      <c r="P60" s="233"/>
      <c r="Q60" s="233"/>
      <c r="R60" s="233"/>
      <c r="S60" s="233"/>
    </row>
    <row r="61" spans="1:19">
      <c r="A61" s="233"/>
      <c r="B61" s="233"/>
      <c r="C61" s="233"/>
      <c r="D61" s="233" t="s">
        <v>632</v>
      </c>
      <c r="E61" s="233"/>
      <c r="F61" s="233"/>
      <c r="G61" s="233"/>
      <c r="H61" s="233"/>
      <c r="I61" s="233"/>
      <c r="J61" s="233"/>
      <c r="K61" s="233"/>
      <c r="L61" s="233"/>
      <c r="M61" s="233"/>
      <c r="N61" s="233"/>
      <c r="O61" s="233"/>
      <c r="P61" s="233"/>
      <c r="Q61" s="233"/>
      <c r="R61" s="233"/>
      <c r="S61" s="233"/>
    </row>
    <row r="62" spans="1:19">
      <c r="A62" s="233"/>
      <c r="B62" s="233"/>
      <c r="C62" s="233"/>
      <c r="D62" s="233"/>
      <c r="E62" s="233"/>
      <c r="F62" s="233"/>
      <c r="G62" s="233"/>
      <c r="H62" s="233"/>
      <c r="I62" s="233"/>
      <c r="J62" s="233"/>
      <c r="K62" s="233"/>
      <c r="L62" s="233"/>
      <c r="M62" s="233"/>
      <c r="N62" s="233"/>
      <c r="O62" s="233"/>
      <c r="P62" s="233"/>
      <c r="Q62" s="233"/>
      <c r="R62" s="233"/>
      <c r="S62" s="233"/>
    </row>
    <row r="63" spans="1:19">
      <c r="A63" s="233"/>
      <c r="B63" s="233"/>
      <c r="C63" s="233"/>
      <c r="D63" s="592" t="s">
        <v>633</v>
      </c>
      <c r="E63" s="233" t="s">
        <v>353</v>
      </c>
      <c r="F63" s="233"/>
      <c r="G63" s="233"/>
      <c r="H63" s="233"/>
      <c r="I63" s="233"/>
      <c r="J63" s="233"/>
      <c r="K63" s="233"/>
      <c r="L63" s="233"/>
      <c r="M63" s="233"/>
      <c r="N63" s="233"/>
      <c r="O63" s="233"/>
      <c r="P63" s="233"/>
      <c r="Q63" s="233"/>
      <c r="R63" s="233"/>
      <c r="S63" s="233"/>
    </row>
    <row r="64" spans="1:19">
      <c r="A64" s="233"/>
      <c r="B64" s="233"/>
      <c r="C64" s="233"/>
      <c r="D64" s="233"/>
      <c r="E64" s="233"/>
      <c r="F64" s="233"/>
      <c r="G64" s="233"/>
      <c r="H64" s="233"/>
      <c r="I64" s="233"/>
      <c r="J64" s="233"/>
      <c r="K64" s="233"/>
      <c r="L64" s="233"/>
      <c r="M64" s="233"/>
      <c r="N64" s="233"/>
      <c r="O64" s="233"/>
      <c r="P64" s="233"/>
      <c r="Q64" s="233"/>
      <c r="R64" s="233"/>
      <c r="S64" s="233"/>
    </row>
    <row r="65" spans="1:19" ht="13">
      <c r="A65" s="233"/>
      <c r="B65" s="233"/>
      <c r="C65" s="233"/>
      <c r="D65" s="593" t="s">
        <v>634</v>
      </c>
      <c r="E65" s="456"/>
      <c r="F65" s="233" t="s">
        <v>623</v>
      </c>
      <c r="G65" s="233"/>
      <c r="H65" s="233"/>
      <c r="I65" s="233"/>
      <c r="J65" s="233"/>
      <c r="K65" s="233"/>
      <c r="L65" s="233"/>
      <c r="M65" s="233"/>
      <c r="N65" s="233"/>
      <c r="O65" s="233"/>
      <c r="P65" s="233"/>
      <c r="Q65" s="233"/>
      <c r="R65" s="233"/>
      <c r="S65" s="233"/>
    </row>
    <row r="66" spans="1:19">
      <c r="A66" s="233"/>
      <c r="B66" s="233"/>
      <c r="C66" s="233"/>
      <c r="D66" s="233"/>
      <c r="E66" s="233"/>
      <c r="F66" s="233"/>
      <c r="G66" s="233"/>
      <c r="H66" s="233"/>
      <c r="I66" s="233"/>
      <c r="J66" s="233"/>
      <c r="K66" s="233"/>
      <c r="L66" s="233"/>
      <c r="M66" s="233"/>
      <c r="N66" s="233"/>
      <c r="O66" s="233"/>
      <c r="P66" s="233"/>
      <c r="Q66" s="233"/>
      <c r="R66" s="233"/>
      <c r="S66" s="233"/>
    </row>
    <row r="67" spans="1:19">
      <c r="A67" s="233"/>
      <c r="B67" s="233"/>
      <c r="C67" s="233"/>
      <c r="D67" s="233"/>
      <c r="E67" s="233"/>
      <c r="F67" s="233"/>
      <c r="G67" s="233"/>
      <c r="H67" s="233"/>
      <c r="I67" s="233"/>
      <c r="J67" s="233"/>
      <c r="K67" s="233"/>
      <c r="L67" s="233"/>
      <c r="M67" s="233"/>
      <c r="N67" s="233"/>
      <c r="O67" s="233"/>
      <c r="P67" s="233"/>
      <c r="Q67" s="233"/>
      <c r="R67" s="233"/>
      <c r="S67" s="233"/>
    </row>
    <row r="68" spans="1:19">
      <c r="A68" s="233"/>
      <c r="B68" s="233"/>
      <c r="C68" s="233"/>
      <c r="D68" s="233"/>
      <c r="E68" s="233"/>
      <c r="F68" s="233"/>
      <c r="G68" s="233"/>
      <c r="H68" s="233"/>
      <c r="I68" s="233"/>
      <c r="J68" s="233"/>
      <c r="K68" s="233"/>
      <c r="L68" s="233"/>
      <c r="M68" s="233"/>
      <c r="N68" s="233"/>
      <c r="O68" s="233"/>
      <c r="P68" s="233"/>
      <c r="Q68" s="233"/>
      <c r="R68" s="233"/>
      <c r="S68" s="233"/>
    </row>
    <row r="69" spans="1:19">
      <c r="A69" s="233"/>
      <c r="B69" s="233"/>
      <c r="C69" s="233"/>
      <c r="D69" s="233"/>
      <c r="E69" s="233"/>
      <c r="F69" s="233"/>
      <c r="G69" s="233"/>
      <c r="H69" s="233"/>
      <c r="I69" s="233"/>
      <c r="J69" s="233"/>
      <c r="K69" s="233"/>
      <c r="L69" s="233"/>
      <c r="M69" s="233"/>
      <c r="N69" s="233"/>
      <c r="O69" s="233"/>
      <c r="P69" s="233"/>
      <c r="Q69" s="233"/>
      <c r="R69" s="233"/>
      <c r="S69" s="233"/>
    </row>
    <row r="70" spans="1:19" ht="13">
      <c r="A70" s="233"/>
      <c r="B70" s="233"/>
      <c r="C70" s="600" t="s">
        <v>675</v>
      </c>
      <c r="D70" s="602"/>
      <c r="E70" s="233" t="s">
        <v>164</v>
      </c>
      <c r="F70" s="233"/>
      <c r="G70" s="233"/>
      <c r="H70" s="233"/>
      <c r="I70" s="233"/>
      <c r="J70" s="233"/>
      <c r="K70" s="233"/>
      <c r="L70" s="233"/>
      <c r="M70" s="233"/>
      <c r="N70" s="233"/>
      <c r="O70" s="233"/>
      <c r="P70" s="233"/>
      <c r="Q70" s="233"/>
      <c r="R70" s="233"/>
    </row>
    <row r="71" spans="1:19">
      <c r="A71" s="233"/>
      <c r="B71" s="233"/>
      <c r="C71" s="233" t="s">
        <v>467</v>
      </c>
      <c r="D71" s="233"/>
      <c r="E71" s="233"/>
      <c r="F71" s="233"/>
      <c r="G71" s="233"/>
      <c r="H71" s="233"/>
      <c r="I71" s="233"/>
      <c r="J71" s="233"/>
      <c r="K71" s="233"/>
      <c r="L71" s="233"/>
      <c r="M71" s="233"/>
      <c r="N71" s="233"/>
      <c r="O71" s="233"/>
      <c r="P71" s="233"/>
      <c r="Q71" s="233"/>
      <c r="R71" s="233"/>
    </row>
    <row r="72" spans="1:19">
      <c r="A72" s="233"/>
      <c r="B72" s="233"/>
      <c r="C72" s="233" t="s">
        <v>637</v>
      </c>
      <c r="D72" s="233"/>
      <c r="E72" s="233"/>
      <c r="F72" s="233"/>
      <c r="G72" s="233"/>
      <c r="H72" s="233"/>
      <c r="I72" s="233"/>
      <c r="J72" s="233"/>
      <c r="K72" s="233"/>
      <c r="L72" s="233"/>
      <c r="M72" s="233"/>
      <c r="N72" s="233"/>
      <c r="O72" s="233"/>
      <c r="P72" s="233"/>
      <c r="Q72" s="233"/>
      <c r="R72" s="233"/>
    </row>
    <row r="73" spans="1:19">
      <c r="A73" s="233"/>
      <c r="B73" s="233"/>
      <c r="C73" s="233"/>
      <c r="D73" s="233"/>
      <c r="E73" s="233"/>
      <c r="F73" s="233"/>
      <c r="G73" s="233"/>
      <c r="H73" s="233"/>
      <c r="I73" s="233"/>
      <c r="J73" s="233"/>
      <c r="K73" s="233"/>
      <c r="L73" s="233"/>
      <c r="M73" s="233"/>
      <c r="N73" s="233"/>
      <c r="O73" s="233"/>
      <c r="P73" s="233"/>
      <c r="Q73" s="233"/>
      <c r="R73" s="233"/>
    </row>
    <row r="74" spans="1:19">
      <c r="A74" s="233"/>
      <c r="B74" s="233"/>
      <c r="C74" s="233" t="s">
        <v>673</v>
      </c>
      <c r="D74" s="233"/>
      <c r="E74" s="233"/>
      <c r="F74" s="233"/>
      <c r="G74" s="233"/>
      <c r="H74" s="233"/>
      <c r="I74" s="233"/>
      <c r="J74" s="233"/>
      <c r="K74" s="233"/>
      <c r="L74" s="233"/>
      <c r="M74" s="233"/>
      <c r="N74" s="233"/>
      <c r="O74" s="233"/>
      <c r="P74" s="233"/>
      <c r="Q74" s="233"/>
      <c r="R74" s="233"/>
    </row>
    <row r="75" spans="1:19" ht="13">
      <c r="A75" s="233"/>
      <c r="B75" s="233"/>
      <c r="C75" s="233" t="s">
        <v>358</v>
      </c>
      <c r="D75" s="233"/>
      <c r="E75" s="233"/>
      <c r="F75" s="233"/>
      <c r="G75" s="233"/>
      <c r="H75" s="233"/>
      <c r="I75" s="233"/>
      <c r="J75" s="233"/>
      <c r="K75" s="233"/>
      <c r="L75" s="233"/>
      <c r="M75" s="233"/>
      <c r="N75" s="233"/>
      <c r="O75" s="233"/>
      <c r="P75" s="233"/>
      <c r="Q75" s="233"/>
      <c r="R75" s="233"/>
    </row>
    <row r="76" spans="1:19">
      <c r="A76" s="233"/>
      <c r="B76" s="233"/>
      <c r="C76" s="233" t="s">
        <v>468</v>
      </c>
      <c r="D76" s="233"/>
      <c r="E76" s="233"/>
      <c r="F76" s="233"/>
      <c r="G76" s="233"/>
      <c r="H76" s="233"/>
      <c r="I76" s="233"/>
      <c r="J76" s="233"/>
      <c r="K76" s="233"/>
      <c r="L76" s="233"/>
      <c r="M76" s="233"/>
      <c r="N76" s="233"/>
      <c r="O76" s="233"/>
      <c r="P76" s="233"/>
      <c r="Q76" s="233"/>
      <c r="R76" s="233"/>
    </row>
    <row r="77" spans="1:19" ht="13">
      <c r="A77" s="233"/>
      <c r="B77" s="233"/>
      <c r="C77" s="233" t="s">
        <v>359</v>
      </c>
      <c r="D77" s="233"/>
      <c r="E77" s="233"/>
      <c r="F77" s="233"/>
      <c r="G77" s="233"/>
      <c r="H77" s="233"/>
      <c r="I77" s="233"/>
      <c r="J77" s="233"/>
      <c r="K77" s="233"/>
      <c r="L77" s="233"/>
      <c r="M77" s="233"/>
      <c r="N77" s="233"/>
      <c r="O77" s="233"/>
      <c r="P77" s="233"/>
      <c r="Q77" s="233"/>
      <c r="R77" s="233"/>
    </row>
    <row r="78" spans="1:19" ht="13">
      <c r="A78" s="233"/>
      <c r="B78" s="233"/>
      <c r="C78" s="233" t="s">
        <v>360</v>
      </c>
      <c r="D78" s="233"/>
      <c r="E78" s="233"/>
      <c r="F78" s="233"/>
      <c r="G78" s="233"/>
      <c r="H78" s="233"/>
      <c r="I78" s="233"/>
      <c r="J78" s="233"/>
      <c r="K78" s="233"/>
      <c r="L78" s="233"/>
      <c r="M78" s="233"/>
      <c r="N78" s="233"/>
      <c r="O78" s="233"/>
      <c r="P78" s="233"/>
      <c r="Q78" s="233"/>
      <c r="R78" s="233"/>
    </row>
    <row r="79" spans="1:19">
      <c r="A79" s="233"/>
      <c r="B79" s="233"/>
      <c r="C79" s="233" t="s">
        <v>361</v>
      </c>
      <c r="D79" s="233"/>
      <c r="E79" s="233"/>
      <c r="F79" s="233"/>
      <c r="G79" s="233"/>
      <c r="H79" s="233"/>
      <c r="I79" s="233"/>
      <c r="J79" s="233"/>
      <c r="K79" s="233"/>
      <c r="L79" s="233"/>
      <c r="M79" s="233"/>
      <c r="N79" s="233"/>
      <c r="O79" s="233"/>
      <c r="P79" s="233"/>
      <c r="Q79" s="233"/>
      <c r="R79" s="233"/>
    </row>
    <row r="80" spans="1:19">
      <c r="A80" s="233"/>
      <c r="B80" s="233"/>
      <c r="C80" s="233" t="s">
        <v>715</v>
      </c>
      <c r="D80" s="233"/>
      <c r="E80" s="233"/>
      <c r="F80" s="233"/>
      <c r="G80" s="233"/>
      <c r="H80" s="233"/>
      <c r="I80" s="233"/>
      <c r="J80" s="233"/>
      <c r="K80" s="233"/>
      <c r="L80" s="233"/>
      <c r="M80" s="233"/>
      <c r="N80" s="233"/>
      <c r="O80" s="233"/>
      <c r="P80" s="233"/>
      <c r="Q80" s="233"/>
      <c r="R80" s="233"/>
    </row>
    <row r="81" spans="1:18">
      <c r="A81" s="233"/>
      <c r="B81" s="233"/>
      <c r="C81" s="233"/>
      <c r="D81" s="233"/>
      <c r="E81" s="233"/>
      <c r="F81" s="233"/>
      <c r="G81" s="233"/>
      <c r="H81" s="233"/>
      <c r="I81" s="233"/>
      <c r="J81" s="233"/>
      <c r="K81" s="233"/>
      <c r="L81" s="233"/>
      <c r="M81" s="233"/>
      <c r="N81" s="233"/>
      <c r="O81" s="233"/>
      <c r="P81" s="233"/>
      <c r="Q81" s="233"/>
      <c r="R81" s="233"/>
    </row>
    <row r="82" spans="1:18">
      <c r="A82" s="233"/>
      <c r="B82" s="233"/>
      <c r="C82" s="233"/>
      <c r="D82" s="233"/>
      <c r="E82" s="233"/>
      <c r="F82" s="233"/>
      <c r="G82" s="233"/>
      <c r="H82" s="233"/>
      <c r="I82" s="233"/>
      <c r="J82" s="233"/>
      <c r="K82" s="233"/>
      <c r="L82" s="233"/>
      <c r="M82" s="233"/>
      <c r="N82" s="233"/>
      <c r="O82" s="233"/>
      <c r="P82" s="233"/>
      <c r="Q82" s="233"/>
      <c r="R82" s="233"/>
    </row>
    <row r="83" spans="1:18" ht="13">
      <c r="A83" s="233"/>
      <c r="B83" s="233"/>
      <c r="C83" s="600" t="s">
        <v>674</v>
      </c>
      <c r="D83" s="601"/>
      <c r="E83" s="602"/>
      <c r="F83" s="233" t="s">
        <v>672</v>
      </c>
      <c r="G83" s="233"/>
      <c r="H83" s="233"/>
      <c r="I83" s="233"/>
      <c r="J83" s="233"/>
      <c r="K83" s="233"/>
      <c r="L83" s="233"/>
      <c r="M83" s="233"/>
      <c r="N83" s="233"/>
      <c r="O83" s="233"/>
      <c r="P83" s="233"/>
      <c r="Q83" s="233"/>
      <c r="R83" s="233"/>
    </row>
    <row r="84" spans="1:18">
      <c r="A84" s="233"/>
      <c r="B84" s="233"/>
      <c r="C84" s="233" t="s">
        <v>469</v>
      </c>
      <c r="D84" s="233"/>
      <c r="E84" s="233"/>
      <c r="F84" s="233"/>
      <c r="G84" s="233"/>
      <c r="H84" s="233"/>
      <c r="I84" s="233"/>
      <c r="J84" s="233"/>
      <c r="K84" s="233"/>
      <c r="L84" s="233"/>
      <c r="M84" s="233"/>
      <c r="N84" s="233"/>
      <c r="O84" s="233"/>
      <c r="P84" s="233"/>
      <c r="Q84" s="233"/>
      <c r="R84" s="233"/>
    </row>
    <row r="85" spans="1:18" ht="13">
      <c r="A85" s="233"/>
      <c r="B85" s="233"/>
      <c r="C85" s="233" t="s">
        <v>671</v>
      </c>
      <c r="D85" s="233"/>
      <c r="E85" s="233"/>
      <c r="F85" s="233"/>
      <c r="G85" s="233"/>
      <c r="H85" s="233"/>
      <c r="I85" s="233"/>
      <c r="J85" s="233"/>
      <c r="K85" s="233"/>
      <c r="L85" s="233"/>
      <c r="M85" s="233"/>
      <c r="N85" s="233"/>
      <c r="O85" s="233"/>
      <c r="P85" s="233"/>
      <c r="Q85" s="233"/>
      <c r="R85" s="233"/>
    </row>
    <row r="86" spans="1:18">
      <c r="A86" s="233"/>
      <c r="B86" s="233"/>
      <c r="C86" s="233" t="s">
        <v>676</v>
      </c>
      <c r="D86" s="233"/>
      <c r="E86" s="233"/>
      <c r="F86" s="233"/>
      <c r="G86" s="233"/>
      <c r="H86" s="233"/>
      <c r="I86" s="233"/>
      <c r="J86" s="233"/>
      <c r="K86" s="233"/>
      <c r="L86" s="233"/>
      <c r="M86" s="233"/>
      <c r="N86" s="233"/>
      <c r="O86" s="233"/>
      <c r="P86" s="233"/>
      <c r="Q86" s="233"/>
      <c r="R86" s="233"/>
    </row>
    <row r="87" spans="1:18" ht="13">
      <c r="A87" s="233"/>
      <c r="B87" s="233"/>
      <c r="C87" s="233" t="s">
        <v>290</v>
      </c>
      <c r="D87" s="233"/>
      <c r="E87" s="233"/>
      <c r="F87" s="233"/>
      <c r="G87" s="233"/>
      <c r="H87" s="233"/>
      <c r="I87" s="233"/>
      <c r="J87" s="233"/>
      <c r="K87" s="233"/>
      <c r="L87" s="233"/>
      <c r="M87" s="233"/>
      <c r="N87" s="233"/>
      <c r="O87" s="233"/>
      <c r="P87" s="233"/>
      <c r="Q87" s="233"/>
      <c r="R87" s="233"/>
    </row>
    <row r="88" spans="1:18">
      <c r="A88" s="233"/>
      <c r="B88" s="233"/>
      <c r="C88" s="233" t="s">
        <v>363</v>
      </c>
      <c r="D88" s="233"/>
      <c r="E88" s="233"/>
      <c r="F88" s="233"/>
      <c r="G88" s="233"/>
      <c r="H88" s="233"/>
      <c r="I88" s="233"/>
      <c r="J88" s="233"/>
      <c r="K88" s="233"/>
      <c r="L88" s="233"/>
      <c r="M88" s="233"/>
      <c r="N88" s="233"/>
      <c r="O88" s="233"/>
      <c r="P88" s="233"/>
      <c r="Q88" s="233"/>
      <c r="R88" s="233"/>
    </row>
    <row r="89" spans="1:18">
      <c r="A89" s="233"/>
      <c r="B89" s="233"/>
      <c r="C89" s="233" t="s">
        <v>362</v>
      </c>
      <c r="D89" s="233"/>
      <c r="E89" s="233"/>
      <c r="F89" s="233"/>
      <c r="G89" s="233"/>
      <c r="H89" s="233"/>
      <c r="I89" s="233"/>
      <c r="J89" s="233"/>
      <c r="K89" s="233"/>
      <c r="L89" s="233"/>
      <c r="M89" s="233"/>
      <c r="N89" s="233"/>
      <c r="O89" s="233"/>
      <c r="P89" s="233"/>
      <c r="Q89" s="233"/>
      <c r="R89" s="233"/>
    </row>
    <row r="90" spans="1:18">
      <c r="A90" s="233"/>
      <c r="B90" s="233"/>
      <c r="C90" s="233"/>
      <c r="D90" s="233"/>
      <c r="E90" s="233"/>
      <c r="F90" s="233"/>
      <c r="G90" s="233"/>
      <c r="H90" s="233"/>
      <c r="I90" s="233"/>
      <c r="J90" s="233"/>
      <c r="K90" s="233"/>
      <c r="L90" s="233"/>
      <c r="M90" s="233"/>
      <c r="N90" s="233"/>
      <c r="O90" s="233"/>
      <c r="P90" s="233"/>
      <c r="Q90" s="233"/>
      <c r="R90" s="233"/>
    </row>
    <row r="91" spans="1:18">
      <c r="A91" s="233"/>
      <c r="B91" s="233"/>
      <c r="C91" s="233" t="s">
        <v>681</v>
      </c>
      <c r="D91" s="233"/>
      <c r="E91" s="233"/>
      <c r="F91" s="233"/>
      <c r="G91" s="233"/>
      <c r="H91" s="233"/>
      <c r="I91" s="233"/>
      <c r="J91" s="233"/>
      <c r="K91" s="233"/>
      <c r="L91" s="233"/>
      <c r="M91" s="233"/>
      <c r="N91" s="233"/>
      <c r="O91" s="233"/>
      <c r="P91" s="233"/>
      <c r="Q91" s="233"/>
      <c r="R91" s="233"/>
    </row>
    <row r="92" spans="1:18" ht="13">
      <c r="A92" s="233"/>
      <c r="B92" s="233"/>
      <c r="C92" s="233" t="s">
        <v>678</v>
      </c>
      <c r="D92" s="233"/>
      <c r="E92" s="233"/>
      <c r="F92" s="233"/>
      <c r="G92" s="233"/>
      <c r="H92" s="233"/>
      <c r="I92" s="233"/>
      <c r="J92" s="233"/>
      <c r="K92" s="233"/>
      <c r="L92" s="233"/>
      <c r="M92" s="233"/>
      <c r="N92" s="233"/>
      <c r="O92" s="233"/>
      <c r="P92" s="233"/>
      <c r="Q92" s="233"/>
      <c r="R92" s="233"/>
    </row>
    <row r="93" spans="1:18" ht="13">
      <c r="A93" s="233"/>
      <c r="B93" s="233"/>
      <c r="C93" s="233" t="s">
        <v>680</v>
      </c>
      <c r="D93" s="233"/>
      <c r="E93" s="233"/>
      <c r="F93" s="233"/>
      <c r="G93" s="233"/>
      <c r="H93" s="233"/>
      <c r="I93" s="233"/>
      <c r="J93" s="233"/>
      <c r="K93" s="233"/>
      <c r="L93" s="233"/>
      <c r="M93" s="233"/>
      <c r="N93" s="233"/>
      <c r="O93" s="233"/>
      <c r="P93" s="233"/>
      <c r="Q93" s="233"/>
      <c r="R93" s="233"/>
    </row>
    <row r="94" spans="1:18">
      <c r="A94" s="233"/>
      <c r="B94" s="233"/>
      <c r="C94" s="233"/>
      <c r="D94" s="233"/>
      <c r="E94" s="233"/>
      <c r="F94" s="233"/>
      <c r="G94" s="233"/>
      <c r="H94" s="233"/>
      <c r="I94" s="233"/>
      <c r="J94" s="233"/>
      <c r="K94" s="233"/>
      <c r="L94" s="233"/>
      <c r="M94" s="233"/>
      <c r="N94" s="233" t="s">
        <v>715</v>
      </c>
      <c r="O94" s="233"/>
      <c r="P94" s="233"/>
      <c r="Q94" s="233"/>
      <c r="R94" s="233"/>
    </row>
    <row r="95" spans="1:18">
      <c r="A95" s="233"/>
      <c r="B95" s="233"/>
      <c r="C95" s="233"/>
      <c r="D95" s="233"/>
      <c r="E95" s="233"/>
      <c r="F95" s="233"/>
      <c r="G95" s="233"/>
      <c r="H95" s="233"/>
      <c r="I95" s="233"/>
      <c r="J95" s="233"/>
      <c r="K95" s="233"/>
      <c r="L95" s="233"/>
      <c r="M95" s="233"/>
      <c r="N95" s="233"/>
      <c r="O95" s="233"/>
      <c r="P95" s="233"/>
      <c r="Q95" s="233"/>
      <c r="R95" s="233"/>
    </row>
    <row r="96" spans="1:18">
      <c r="A96" s="233"/>
      <c r="B96" s="233"/>
      <c r="C96" s="233"/>
      <c r="D96" s="233"/>
      <c r="E96" s="233"/>
      <c r="F96" s="233"/>
      <c r="G96" s="233"/>
      <c r="H96" s="233"/>
      <c r="I96" s="233"/>
      <c r="J96" s="233"/>
      <c r="K96" s="233"/>
      <c r="L96" s="233"/>
      <c r="M96" s="233"/>
      <c r="N96" s="233"/>
      <c r="O96" s="233"/>
      <c r="P96" s="233"/>
      <c r="Q96" s="233"/>
      <c r="R96" s="233"/>
    </row>
    <row r="97" spans="1:19">
      <c r="A97" s="233"/>
      <c r="B97" s="233"/>
      <c r="C97" s="233"/>
      <c r="D97" s="233"/>
      <c r="E97" s="233"/>
      <c r="F97" s="233"/>
      <c r="G97" s="233"/>
      <c r="H97" s="233"/>
      <c r="I97" s="233"/>
      <c r="J97" s="233"/>
      <c r="K97" s="233"/>
      <c r="L97" s="233"/>
      <c r="M97" s="233"/>
      <c r="N97" s="233"/>
      <c r="O97" s="233"/>
      <c r="P97" s="233"/>
      <c r="Q97" s="233"/>
      <c r="R97" s="233"/>
    </row>
    <row r="98" spans="1:19" ht="13">
      <c r="A98" s="233"/>
      <c r="B98" s="233"/>
      <c r="C98" s="600" t="s">
        <v>683</v>
      </c>
      <c r="D98" s="604"/>
      <c r="E98" s="604"/>
      <c r="F98" s="602"/>
      <c r="G98" s="233" t="s">
        <v>364</v>
      </c>
      <c r="H98" s="233"/>
      <c r="I98" s="233"/>
      <c r="J98" s="233"/>
      <c r="K98" s="233"/>
      <c r="L98" s="233"/>
      <c r="M98" s="233"/>
      <c r="N98" s="233"/>
      <c r="O98" s="233"/>
      <c r="P98" s="233"/>
      <c r="Q98" s="233"/>
      <c r="R98" s="233"/>
    </row>
    <row r="99" spans="1:19">
      <c r="A99" s="233"/>
      <c r="B99" s="233"/>
      <c r="C99" s="233" t="s">
        <v>365</v>
      </c>
      <c r="D99" s="233"/>
      <c r="E99" s="233"/>
      <c r="F99" s="233"/>
      <c r="G99" s="233"/>
      <c r="H99" s="233"/>
      <c r="I99" s="233"/>
      <c r="J99" s="233"/>
      <c r="K99" s="233"/>
      <c r="L99" s="233"/>
      <c r="M99" s="233"/>
      <c r="N99" s="233"/>
      <c r="O99" s="233"/>
      <c r="P99" s="233"/>
      <c r="Q99" s="233"/>
      <c r="R99" s="233"/>
    </row>
    <row r="100" spans="1:19">
      <c r="A100" s="233"/>
      <c r="B100" s="233"/>
      <c r="C100" s="233" t="s">
        <v>685</v>
      </c>
      <c r="D100" s="233"/>
      <c r="E100" s="233"/>
      <c r="F100" s="233"/>
      <c r="G100" s="233"/>
      <c r="H100" s="233"/>
      <c r="I100" s="233"/>
      <c r="J100" s="233"/>
      <c r="K100" s="233"/>
      <c r="L100" s="233"/>
      <c r="M100" s="233"/>
      <c r="N100" s="233"/>
      <c r="O100" s="233"/>
      <c r="P100" s="233"/>
      <c r="Q100" s="233"/>
      <c r="R100" s="233"/>
    </row>
    <row r="101" spans="1:19" ht="13">
      <c r="A101" s="233"/>
      <c r="B101" s="233"/>
      <c r="C101" s="233" t="s">
        <v>366</v>
      </c>
      <c r="D101" s="233"/>
      <c r="E101" s="233"/>
      <c r="F101" s="233"/>
      <c r="G101" s="233"/>
      <c r="H101" s="233"/>
      <c r="I101" s="233"/>
      <c r="J101" s="233"/>
      <c r="K101" s="233"/>
      <c r="L101" s="233"/>
      <c r="M101" s="233"/>
      <c r="N101" s="233"/>
      <c r="O101" s="233"/>
      <c r="P101" s="233"/>
      <c r="Q101" s="233"/>
      <c r="R101" s="233"/>
    </row>
    <row r="102" spans="1:19">
      <c r="A102" s="233"/>
      <c r="B102" s="233"/>
      <c r="C102" s="233" t="s">
        <v>684</v>
      </c>
      <c r="D102" s="233"/>
      <c r="E102" s="233"/>
      <c r="F102" s="233"/>
      <c r="G102" s="233"/>
      <c r="H102" s="233"/>
      <c r="I102" s="233"/>
      <c r="J102" s="233"/>
      <c r="K102" s="233"/>
      <c r="L102" s="233"/>
      <c r="M102" s="233"/>
      <c r="N102" s="233"/>
      <c r="O102" s="233"/>
      <c r="P102" s="233"/>
      <c r="Q102" s="233"/>
      <c r="R102" s="233"/>
    </row>
    <row r="103" spans="1:19">
      <c r="A103" s="233"/>
      <c r="B103" s="233"/>
      <c r="C103" s="233"/>
      <c r="D103" s="233"/>
      <c r="E103" s="233"/>
      <c r="F103" s="233"/>
      <c r="G103" s="233"/>
      <c r="H103" s="233"/>
      <c r="I103" s="233"/>
      <c r="J103" s="233"/>
      <c r="K103" s="233"/>
      <c r="L103" s="233"/>
      <c r="M103" s="233"/>
      <c r="N103" s="233"/>
      <c r="O103" s="233"/>
      <c r="P103" s="233"/>
      <c r="Q103" s="233"/>
      <c r="R103" s="233"/>
    </row>
    <row r="104" spans="1:19">
      <c r="A104" s="233"/>
      <c r="B104" s="233"/>
      <c r="C104" s="233"/>
      <c r="D104" s="233"/>
      <c r="E104" s="233"/>
      <c r="F104" s="233"/>
      <c r="G104" s="233"/>
      <c r="H104" s="233"/>
      <c r="I104" s="233"/>
      <c r="J104" s="233"/>
      <c r="K104" s="233"/>
      <c r="L104" s="233"/>
      <c r="M104" s="233"/>
      <c r="N104" s="233"/>
      <c r="O104" s="233"/>
      <c r="P104" s="233"/>
      <c r="Q104" s="233"/>
      <c r="R104" s="233"/>
    </row>
    <row r="105" spans="1:19">
      <c r="A105" s="233"/>
      <c r="B105" s="233"/>
      <c r="C105" s="233"/>
      <c r="D105" s="233"/>
      <c r="E105" s="233"/>
      <c r="F105" s="233"/>
      <c r="G105" s="233"/>
      <c r="H105" s="233"/>
      <c r="I105" s="233"/>
      <c r="J105" s="233"/>
      <c r="K105" s="233"/>
      <c r="L105" s="233"/>
      <c r="M105" s="233"/>
      <c r="N105" s="233"/>
      <c r="O105" s="233"/>
      <c r="P105" s="233"/>
      <c r="Q105" s="233"/>
      <c r="R105" s="233"/>
    </row>
    <row r="106" spans="1:19">
      <c r="A106" s="233"/>
      <c r="B106" s="233"/>
      <c r="C106" s="233"/>
      <c r="D106" s="233"/>
      <c r="E106" s="233"/>
      <c r="F106" s="233"/>
      <c r="G106" s="233"/>
      <c r="H106" s="233"/>
      <c r="I106" s="233"/>
      <c r="J106" s="233"/>
      <c r="K106" s="233"/>
      <c r="L106" s="233"/>
      <c r="M106" s="233"/>
      <c r="N106" s="233"/>
      <c r="O106" s="233"/>
      <c r="P106" s="233"/>
      <c r="Q106" s="233"/>
      <c r="R106" s="233"/>
    </row>
    <row r="107" spans="1:19" ht="15.5">
      <c r="A107" s="233"/>
      <c r="B107" s="272" t="s">
        <v>695</v>
      </c>
      <c r="C107" s="190"/>
      <c r="D107" s="233" t="s">
        <v>696</v>
      </c>
      <c r="E107" s="233"/>
      <c r="F107" s="233"/>
      <c r="G107" s="233"/>
      <c r="H107" s="233"/>
      <c r="I107" s="233"/>
      <c r="J107" s="233"/>
      <c r="K107" s="233"/>
      <c r="L107" s="233"/>
      <c r="M107" s="233"/>
      <c r="N107" s="233"/>
      <c r="O107" s="233"/>
      <c r="P107" s="233"/>
      <c r="Q107" s="233"/>
      <c r="R107" s="233"/>
      <c r="S107" s="233"/>
    </row>
    <row r="108" spans="1:19">
      <c r="A108" s="233"/>
      <c r="B108" s="233"/>
      <c r="C108" s="233"/>
      <c r="D108" s="233"/>
      <c r="E108" s="233"/>
      <c r="F108" s="233"/>
      <c r="G108" s="233"/>
      <c r="H108" s="233"/>
      <c r="I108" s="233"/>
      <c r="J108" s="233"/>
      <c r="K108" s="233"/>
      <c r="L108" s="233"/>
      <c r="M108" s="233"/>
      <c r="N108" s="233"/>
      <c r="O108" s="233"/>
      <c r="P108" s="233"/>
      <c r="Q108" s="233"/>
      <c r="R108" s="233"/>
      <c r="S108" s="233"/>
    </row>
    <row r="109" spans="1:19" ht="13">
      <c r="A109" s="233"/>
      <c r="B109" s="605">
        <v>1</v>
      </c>
      <c r="C109" s="233" t="s">
        <v>697</v>
      </c>
      <c r="D109" s="233"/>
      <c r="E109" s="233"/>
      <c r="F109" s="233"/>
      <c r="G109" s="233"/>
      <c r="H109" s="233"/>
      <c r="I109" s="233"/>
      <c r="J109" s="233"/>
      <c r="K109" s="233"/>
      <c r="L109" s="233"/>
      <c r="M109" s="233"/>
      <c r="N109" s="233"/>
      <c r="O109" s="233"/>
      <c r="P109" s="233"/>
      <c r="Q109" s="233"/>
      <c r="R109" s="233"/>
      <c r="S109" s="233"/>
    </row>
    <row r="110" spans="1:19">
      <c r="A110" s="233"/>
      <c r="B110" s="245"/>
      <c r="C110" s="233"/>
      <c r="D110" s="233"/>
      <c r="E110" s="233"/>
      <c r="F110" s="233"/>
      <c r="G110" s="233"/>
      <c r="H110" s="233"/>
      <c r="I110" s="233"/>
      <c r="J110" s="233"/>
      <c r="K110" s="233"/>
      <c r="L110" s="233"/>
      <c r="M110" s="233"/>
      <c r="N110" s="233"/>
      <c r="O110" s="233"/>
      <c r="P110" s="233"/>
      <c r="Q110" s="233"/>
      <c r="R110" s="233"/>
      <c r="S110" s="233"/>
    </row>
    <row r="111" spans="1:19" ht="13">
      <c r="A111" s="233"/>
      <c r="B111" s="245">
        <v>2</v>
      </c>
      <c r="C111" s="233" t="s">
        <v>807</v>
      </c>
      <c r="D111" s="233"/>
      <c r="E111" s="233"/>
      <c r="F111" s="233"/>
      <c r="G111" s="233"/>
      <c r="H111" s="233"/>
      <c r="I111" s="233"/>
      <c r="J111" s="233"/>
      <c r="K111" s="233"/>
      <c r="L111" s="233"/>
      <c r="M111" s="233"/>
      <c r="N111" s="233"/>
      <c r="O111" s="233"/>
      <c r="P111" s="233"/>
      <c r="Q111" s="233"/>
      <c r="R111" s="233"/>
      <c r="S111" s="233"/>
    </row>
    <row r="112" spans="1:19">
      <c r="A112" s="233"/>
      <c r="B112" s="245"/>
      <c r="C112" s="233"/>
      <c r="D112" s="233"/>
      <c r="E112" s="233"/>
      <c r="F112" s="233"/>
      <c r="G112" s="233"/>
      <c r="H112" s="233"/>
      <c r="I112" s="233"/>
      <c r="J112" s="233"/>
      <c r="K112" s="233"/>
      <c r="L112" s="233"/>
      <c r="M112" s="233"/>
      <c r="N112" s="233"/>
      <c r="O112" s="233"/>
      <c r="P112" s="233"/>
      <c r="Q112" s="233"/>
      <c r="R112" s="233"/>
      <c r="S112" s="233"/>
    </row>
    <row r="113" spans="1:19" ht="13">
      <c r="A113" s="233"/>
      <c r="B113" s="245">
        <v>3</v>
      </c>
      <c r="C113" s="233" t="s">
        <v>698</v>
      </c>
      <c r="D113" s="233"/>
      <c r="E113" s="233"/>
      <c r="F113" s="233"/>
      <c r="G113" s="233"/>
      <c r="H113" s="233"/>
      <c r="I113" s="233"/>
      <c r="J113" s="233"/>
      <c r="K113" s="233"/>
      <c r="L113" s="233"/>
      <c r="M113" s="233"/>
      <c r="N113" s="233"/>
      <c r="O113" s="233"/>
      <c r="P113" s="233"/>
      <c r="Q113" s="233"/>
      <c r="R113" s="233"/>
      <c r="S113" s="233"/>
    </row>
    <row r="114" spans="1:19">
      <c r="A114" s="233"/>
      <c r="B114" s="245"/>
      <c r="C114" s="233"/>
      <c r="D114" s="233"/>
      <c r="E114" s="233"/>
      <c r="F114" s="233"/>
      <c r="G114" s="233"/>
      <c r="H114" s="233"/>
      <c r="I114" s="233"/>
      <c r="J114" s="233"/>
      <c r="K114" s="233"/>
      <c r="L114" s="233"/>
      <c r="M114" s="233"/>
      <c r="N114" s="233"/>
      <c r="O114" s="233"/>
      <c r="P114" s="233"/>
      <c r="Q114" s="233"/>
      <c r="R114" s="233"/>
      <c r="S114" s="233"/>
    </row>
    <row r="115" spans="1:19" ht="13">
      <c r="A115" s="233"/>
      <c r="B115" s="245">
        <v>4</v>
      </c>
      <c r="C115" s="233" t="s">
        <v>699</v>
      </c>
      <c r="D115" s="233"/>
      <c r="E115" s="233"/>
      <c r="F115" s="233"/>
      <c r="G115" s="233"/>
      <c r="H115" s="233"/>
      <c r="I115" s="233"/>
      <c r="J115" s="233"/>
      <c r="K115" s="233"/>
      <c r="L115" s="233"/>
      <c r="M115" s="233"/>
      <c r="N115" s="233"/>
      <c r="O115" s="233"/>
      <c r="P115" s="233"/>
      <c r="Q115" s="233"/>
      <c r="R115" s="233"/>
      <c r="S115" s="233"/>
    </row>
    <row r="116" spans="1:19">
      <c r="A116" s="233"/>
      <c r="B116" s="245"/>
      <c r="C116" s="233"/>
      <c r="D116" s="233"/>
      <c r="E116" s="233"/>
      <c r="F116" s="233"/>
      <c r="G116" s="233"/>
      <c r="H116" s="233"/>
      <c r="I116" s="233"/>
      <c r="J116" s="233"/>
      <c r="K116" s="233"/>
      <c r="L116" s="233"/>
      <c r="M116" s="233"/>
      <c r="N116" s="233"/>
      <c r="O116" s="233"/>
      <c r="P116" s="233"/>
      <c r="Q116" s="233"/>
      <c r="R116" s="233"/>
      <c r="S116" s="233"/>
    </row>
    <row r="117" spans="1:19" ht="13">
      <c r="A117" s="233"/>
      <c r="B117" s="245">
        <v>5</v>
      </c>
      <c r="C117" s="233" t="s">
        <v>700</v>
      </c>
      <c r="D117" s="233"/>
      <c r="E117" s="233"/>
      <c r="F117" s="233"/>
      <c r="G117" s="233"/>
      <c r="H117" s="233"/>
      <c r="I117" s="233"/>
      <c r="J117" s="233"/>
      <c r="K117" s="233"/>
      <c r="L117" s="233"/>
      <c r="M117" s="233"/>
      <c r="N117" s="233"/>
      <c r="O117" s="233"/>
      <c r="P117" s="233"/>
      <c r="Q117" s="233"/>
      <c r="R117" s="233"/>
      <c r="S117" s="233"/>
    </row>
    <row r="118" spans="1:19">
      <c r="A118" s="233"/>
      <c r="B118" s="245"/>
      <c r="C118" s="233" t="s">
        <v>701</v>
      </c>
      <c r="D118" s="233"/>
      <c r="E118" s="233"/>
      <c r="F118" s="233"/>
      <c r="G118" s="233"/>
      <c r="H118" s="233"/>
      <c r="I118" s="233"/>
      <c r="J118" s="233"/>
      <c r="K118" s="233"/>
      <c r="L118" s="233"/>
      <c r="M118" s="233"/>
      <c r="N118" s="233"/>
      <c r="O118" s="233"/>
      <c r="P118" s="233"/>
      <c r="Q118" s="233"/>
      <c r="R118" s="233"/>
      <c r="S118" s="233"/>
    </row>
    <row r="119" spans="1:19">
      <c r="A119" s="233"/>
      <c r="B119" s="245"/>
      <c r="C119" s="233"/>
      <c r="D119" s="233"/>
      <c r="E119" s="233"/>
      <c r="F119" s="233"/>
      <c r="G119" s="233"/>
      <c r="H119" s="233"/>
      <c r="I119" s="233"/>
      <c r="J119" s="233"/>
      <c r="K119" s="233"/>
      <c r="L119" s="233"/>
      <c r="M119" s="233"/>
      <c r="N119" s="233"/>
      <c r="O119" s="233"/>
      <c r="P119" s="233"/>
      <c r="Q119" s="233"/>
      <c r="R119" s="233"/>
      <c r="S119" s="233"/>
    </row>
    <row r="120" spans="1:19" ht="13">
      <c r="A120" s="233"/>
      <c r="B120" s="245">
        <v>6</v>
      </c>
      <c r="C120" s="233" t="s">
        <v>702</v>
      </c>
      <c r="D120" s="233"/>
      <c r="E120" s="233"/>
      <c r="F120" s="233"/>
      <c r="G120" s="233"/>
      <c r="H120" s="233"/>
      <c r="I120" s="233"/>
      <c r="J120" s="233"/>
      <c r="K120" s="233"/>
      <c r="L120" s="233"/>
      <c r="M120" s="233"/>
      <c r="N120" s="233"/>
      <c r="O120" s="233"/>
      <c r="P120" s="233"/>
      <c r="Q120" s="233"/>
      <c r="R120" s="233"/>
      <c r="S120" s="233"/>
    </row>
    <row r="121" spans="1:19">
      <c r="A121" s="233"/>
      <c r="B121" s="245"/>
      <c r="C121" s="233"/>
      <c r="D121" s="233"/>
      <c r="E121" s="233"/>
      <c r="F121" s="233"/>
      <c r="G121" s="233"/>
      <c r="H121" s="233"/>
      <c r="I121" s="233"/>
      <c r="J121" s="233"/>
      <c r="K121" s="233"/>
      <c r="L121" s="233"/>
      <c r="M121" s="233"/>
      <c r="N121" s="233"/>
      <c r="O121" s="233"/>
      <c r="P121" s="233"/>
      <c r="Q121" s="233"/>
      <c r="R121" s="233"/>
      <c r="S121" s="233"/>
    </row>
    <row r="122" spans="1:19" ht="13">
      <c r="A122" s="233"/>
      <c r="B122" s="245">
        <v>7</v>
      </c>
      <c r="C122" s="233" t="s">
        <v>703</v>
      </c>
      <c r="D122" s="233"/>
      <c r="E122" s="233"/>
      <c r="F122" s="233"/>
      <c r="G122" s="233"/>
      <c r="H122" s="233"/>
      <c r="I122" s="233"/>
      <c r="J122" s="233"/>
      <c r="K122" s="233"/>
      <c r="L122" s="233"/>
      <c r="M122" s="233"/>
      <c r="N122" s="233"/>
      <c r="O122" s="233"/>
      <c r="P122" s="233"/>
      <c r="Q122" s="233"/>
      <c r="R122" s="233"/>
      <c r="S122" s="233"/>
    </row>
    <row r="123" spans="1:19">
      <c r="A123" s="233"/>
      <c r="B123" s="606"/>
      <c r="C123" s="233"/>
      <c r="D123" s="233"/>
      <c r="E123" s="233"/>
      <c r="F123" s="233"/>
      <c r="G123" s="233"/>
      <c r="H123" s="233"/>
      <c r="I123" s="233"/>
      <c r="J123" s="233"/>
      <c r="K123" s="233"/>
      <c r="L123" s="233"/>
      <c r="M123" s="233"/>
      <c r="N123" s="233"/>
      <c r="O123" s="233"/>
      <c r="P123" s="233"/>
      <c r="Q123" s="233"/>
      <c r="R123" s="233"/>
      <c r="S123" s="233"/>
    </row>
    <row r="124" spans="1:19" ht="13">
      <c r="A124" s="233"/>
      <c r="B124" s="245">
        <v>8</v>
      </c>
      <c r="C124" s="233" t="s">
        <v>704</v>
      </c>
      <c r="D124" s="233"/>
      <c r="E124" s="233"/>
      <c r="F124" s="233"/>
      <c r="G124" s="233"/>
      <c r="H124" s="233"/>
      <c r="I124" s="233"/>
      <c r="J124" s="233"/>
      <c r="K124" s="233"/>
      <c r="L124" s="233"/>
      <c r="M124" s="233"/>
      <c r="N124" s="233"/>
      <c r="O124" s="233"/>
      <c r="P124" s="233"/>
      <c r="Q124" s="233"/>
      <c r="R124" s="233"/>
      <c r="S124" s="233"/>
    </row>
    <row r="125" spans="1:19">
      <c r="A125" s="233"/>
      <c r="B125" s="606"/>
      <c r="C125" s="233"/>
      <c r="D125" s="233"/>
      <c r="E125" s="233"/>
      <c r="F125" s="233"/>
      <c r="G125" s="233"/>
      <c r="H125" s="233"/>
      <c r="I125" s="233"/>
      <c r="J125" s="233"/>
      <c r="K125" s="233"/>
      <c r="L125" s="233"/>
      <c r="M125" s="233"/>
      <c r="N125" s="233"/>
      <c r="O125" s="233"/>
      <c r="P125" s="233"/>
      <c r="Q125" s="233"/>
      <c r="R125" s="233"/>
      <c r="S125" s="233"/>
    </row>
    <row r="126" spans="1:19" ht="13">
      <c r="A126" s="233"/>
      <c r="B126" s="245">
        <v>9</v>
      </c>
      <c r="C126" s="233" t="s">
        <v>367</v>
      </c>
      <c r="D126" s="233"/>
      <c r="E126" s="233"/>
      <c r="F126" s="233"/>
      <c r="G126" s="233"/>
      <c r="H126" s="233"/>
      <c r="I126" s="233"/>
      <c r="J126" s="233"/>
      <c r="K126" s="233"/>
      <c r="L126" s="233"/>
      <c r="M126" s="233"/>
      <c r="N126" s="233"/>
      <c r="O126" s="233"/>
      <c r="P126" s="233"/>
      <c r="Q126" s="233"/>
      <c r="R126" s="233"/>
      <c r="S126" s="233"/>
    </row>
    <row r="127" spans="1:19">
      <c r="A127" s="233"/>
      <c r="B127" s="233"/>
      <c r="C127" s="233"/>
      <c r="D127" s="233"/>
      <c r="E127" s="233"/>
      <c r="F127" s="233"/>
      <c r="G127" s="233"/>
      <c r="H127" s="233"/>
      <c r="I127" s="233"/>
      <c r="J127" s="233"/>
      <c r="K127" s="233"/>
      <c r="L127" s="233"/>
      <c r="M127" s="233"/>
      <c r="N127" s="233"/>
      <c r="O127" s="233"/>
      <c r="P127" s="233"/>
      <c r="Q127" s="233"/>
      <c r="R127" s="233"/>
      <c r="S127" s="233"/>
    </row>
    <row r="128" spans="1:19">
      <c r="B128" s="233"/>
      <c r="C128" s="233"/>
      <c r="D128" s="233"/>
      <c r="E128" s="233"/>
      <c r="F128" s="233"/>
      <c r="G128" s="233"/>
      <c r="H128" s="233"/>
      <c r="I128" s="233"/>
      <c r="J128" s="233"/>
      <c r="K128" s="233"/>
      <c r="L128" s="233"/>
      <c r="M128" s="233"/>
      <c r="N128" s="233"/>
      <c r="O128" s="233"/>
      <c r="P128" s="233"/>
      <c r="Q128" s="233"/>
      <c r="R128" s="233"/>
      <c r="S128" s="233"/>
    </row>
    <row r="129" spans="1:19" ht="15.5">
      <c r="A129" s="233"/>
      <c r="B129" s="272" t="s">
        <v>705</v>
      </c>
      <c r="C129" s="190"/>
      <c r="D129" s="233" t="s">
        <v>706</v>
      </c>
      <c r="E129" s="233"/>
      <c r="F129" s="233"/>
      <c r="G129" s="233"/>
      <c r="H129" s="233"/>
      <c r="I129" s="233"/>
      <c r="J129" s="233"/>
      <c r="K129" s="233"/>
      <c r="L129" s="233"/>
      <c r="M129" s="233"/>
      <c r="N129" s="233"/>
      <c r="O129" s="233"/>
      <c r="P129" s="233"/>
      <c r="Q129" s="233"/>
      <c r="R129" s="233"/>
      <c r="S129" s="233"/>
    </row>
    <row r="130" spans="1:19">
      <c r="A130" s="233"/>
      <c r="B130" s="233"/>
      <c r="C130" s="233"/>
      <c r="D130" s="233"/>
      <c r="E130" s="233"/>
      <c r="F130" s="233"/>
      <c r="G130" s="233"/>
      <c r="H130" s="233"/>
      <c r="I130" s="233"/>
      <c r="J130" s="233"/>
      <c r="K130" s="233"/>
      <c r="L130" s="233"/>
      <c r="M130" s="233"/>
      <c r="N130" s="233"/>
      <c r="O130" s="233"/>
      <c r="P130" s="233"/>
      <c r="Q130" s="233"/>
      <c r="R130" s="233"/>
      <c r="S130" s="233"/>
    </row>
    <row r="131" spans="1:19" ht="13">
      <c r="A131" s="245"/>
      <c r="B131" s="809" t="s">
        <v>707</v>
      </c>
      <c r="C131" s="809" t="s">
        <v>708</v>
      </c>
      <c r="D131" s="811" t="s">
        <v>193</v>
      </c>
      <c r="E131" s="810"/>
      <c r="F131" s="586"/>
      <c r="G131" s="586"/>
      <c r="H131" s="586"/>
      <c r="I131" s="586"/>
      <c r="J131" s="586"/>
      <c r="K131" s="586"/>
      <c r="L131" s="586"/>
      <c r="M131" s="586"/>
      <c r="N131" s="586"/>
      <c r="O131" s="603"/>
      <c r="P131" s="233"/>
      <c r="Q131" s="233"/>
      <c r="R131" s="233"/>
      <c r="S131" s="233"/>
    </row>
    <row r="132" spans="1:19">
      <c r="A132" s="233"/>
      <c r="B132" s="608">
        <v>2</v>
      </c>
      <c r="C132" s="640">
        <v>38382</v>
      </c>
      <c r="D132" s="609" t="s">
        <v>709</v>
      </c>
      <c r="E132" s="586"/>
      <c r="F132" s="586"/>
      <c r="G132" s="586"/>
      <c r="H132" s="586"/>
      <c r="I132" s="586"/>
      <c r="J132" s="586"/>
      <c r="K132" s="586"/>
      <c r="L132" s="586"/>
      <c r="M132" s="586"/>
      <c r="N132" s="586"/>
      <c r="O132" s="603"/>
      <c r="P132" s="233"/>
      <c r="Q132" s="233"/>
      <c r="R132" s="233"/>
      <c r="S132" s="233"/>
    </row>
    <row r="133" spans="1:19">
      <c r="A133" s="233"/>
      <c r="B133" s="641">
        <v>2.1</v>
      </c>
      <c r="C133" s="640">
        <v>38390</v>
      </c>
      <c r="D133" s="607" t="s">
        <v>472</v>
      </c>
      <c r="E133" s="586"/>
      <c r="F133" s="586"/>
      <c r="G133" s="586"/>
      <c r="H133" s="586"/>
      <c r="I133" s="586"/>
      <c r="J133" s="586"/>
      <c r="K133" s="586"/>
      <c r="L133" s="586"/>
      <c r="M133" s="586"/>
      <c r="N133" s="586"/>
      <c r="O133" s="603"/>
      <c r="P133" s="233"/>
      <c r="Q133" s="233"/>
      <c r="R133" s="233"/>
      <c r="S133" s="233"/>
    </row>
    <row r="134" spans="1:19">
      <c r="A134" s="233"/>
      <c r="B134" s="641" t="s">
        <v>640</v>
      </c>
      <c r="C134" s="640">
        <v>38395</v>
      </c>
      <c r="D134" s="607" t="s">
        <v>641</v>
      </c>
      <c r="E134" s="586"/>
      <c r="F134" s="586"/>
      <c r="G134" s="586"/>
      <c r="H134" s="586"/>
      <c r="I134" s="586"/>
      <c r="J134" s="586"/>
      <c r="K134" s="586"/>
      <c r="L134" s="586"/>
      <c r="M134" s="586"/>
      <c r="N134" s="586"/>
      <c r="O134" s="603"/>
      <c r="P134" s="233"/>
      <c r="Q134" s="233"/>
      <c r="R134" s="233"/>
      <c r="S134" s="233"/>
    </row>
    <row r="135" spans="1:19">
      <c r="A135" s="233"/>
      <c r="B135" s="641" t="s">
        <v>146</v>
      </c>
      <c r="C135" s="640">
        <v>38404</v>
      </c>
      <c r="D135" s="607" t="s">
        <v>147</v>
      </c>
      <c r="E135" s="586"/>
      <c r="F135" s="586"/>
      <c r="G135" s="586"/>
      <c r="H135" s="586"/>
      <c r="I135" s="586"/>
      <c r="J135" s="586"/>
      <c r="K135" s="586"/>
      <c r="L135" s="586"/>
      <c r="M135" s="586"/>
      <c r="N135" s="586"/>
      <c r="O135" s="603"/>
      <c r="P135" s="233"/>
      <c r="Q135" s="233"/>
      <c r="R135" s="233"/>
      <c r="S135" s="233"/>
    </row>
    <row r="136" spans="1:19">
      <c r="A136" s="233"/>
      <c r="B136" s="641" t="s">
        <v>662</v>
      </c>
      <c r="C136" s="640">
        <v>38409</v>
      </c>
      <c r="D136" s="607" t="s">
        <v>663</v>
      </c>
      <c r="E136" s="586"/>
      <c r="F136" s="586"/>
      <c r="G136" s="586"/>
      <c r="H136" s="586"/>
      <c r="I136" s="586"/>
      <c r="J136" s="586"/>
      <c r="K136" s="586"/>
      <c r="L136" s="586"/>
      <c r="M136" s="586"/>
      <c r="N136" s="586"/>
      <c r="O136" s="603"/>
      <c r="P136" s="233"/>
      <c r="Q136" s="233"/>
      <c r="R136" s="233"/>
      <c r="S136" s="233"/>
    </row>
    <row r="137" spans="1:19">
      <c r="A137" s="233"/>
      <c r="B137" s="641" t="s">
        <v>542</v>
      </c>
      <c r="C137" s="640">
        <v>38410</v>
      </c>
      <c r="D137" s="607" t="s">
        <v>543</v>
      </c>
      <c r="E137" s="586"/>
      <c r="F137" s="586"/>
      <c r="G137" s="586"/>
      <c r="H137" s="586"/>
      <c r="I137" s="586"/>
      <c r="J137" s="586"/>
      <c r="K137" s="586"/>
      <c r="L137" s="586"/>
      <c r="M137" s="586"/>
      <c r="N137" s="586"/>
      <c r="O137" s="603"/>
      <c r="P137" s="233"/>
      <c r="Q137" s="233"/>
      <c r="R137" s="233"/>
      <c r="S137" s="233"/>
    </row>
    <row r="138" spans="1:19">
      <c r="A138" s="233"/>
      <c r="B138" s="641">
        <v>2.2000000000000002</v>
      </c>
      <c r="C138" s="640">
        <v>38410</v>
      </c>
      <c r="D138" s="607" t="s">
        <v>78</v>
      </c>
      <c r="E138" s="586"/>
      <c r="F138" s="586"/>
      <c r="G138" s="586"/>
      <c r="H138" s="586"/>
      <c r="I138" s="586"/>
      <c r="J138" s="586"/>
      <c r="K138" s="586"/>
      <c r="L138" s="586"/>
      <c r="M138" s="586"/>
      <c r="N138" s="586"/>
      <c r="O138" s="603"/>
      <c r="P138" s="233"/>
      <c r="Q138" s="233"/>
      <c r="R138" s="233"/>
      <c r="S138" s="233"/>
    </row>
    <row r="139" spans="1:19">
      <c r="A139" s="233"/>
      <c r="B139" s="641" t="s">
        <v>165</v>
      </c>
      <c r="C139" s="640">
        <v>38487</v>
      </c>
      <c r="D139" s="607" t="s">
        <v>166</v>
      </c>
      <c r="E139" s="586"/>
      <c r="F139" s="586"/>
      <c r="G139" s="586"/>
      <c r="H139" s="586"/>
      <c r="I139" s="586"/>
      <c r="J139" s="586"/>
      <c r="K139" s="586"/>
      <c r="L139" s="586"/>
      <c r="M139" s="586"/>
      <c r="N139" s="586"/>
      <c r="O139" s="603"/>
      <c r="P139" s="233"/>
      <c r="Q139" s="233"/>
      <c r="R139" s="233"/>
      <c r="S139" s="233"/>
    </row>
    <row r="140" spans="1:19">
      <c r="A140" s="233"/>
      <c r="B140" s="641" t="s">
        <v>643</v>
      </c>
      <c r="C140" s="640">
        <v>38526</v>
      </c>
      <c r="D140" s="607" t="s">
        <v>644</v>
      </c>
      <c r="E140" s="586"/>
      <c r="F140" s="586"/>
      <c r="G140" s="586"/>
      <c r="H140" s="586"/>
      <c r="I140" s="586"/>
      <c r="J140" s="586"/>
      <c r="K140" s="586"/>
      <c r="L140" s="586"/>
      <c r="M140" s="586"/>
      <c r="N140" s="586"/>
      <c r="O140" s="603"/>
      <c r="P140" s="233"/>
      <c r="Q140" s="233"/>
      <c r="R140" s="233"/>
      <c r="S140" s="233"/>
    </row>
    <row r="141" spans="1:19">
      <c r="A141" s="233"/>
      <c r="B141" s="641">
        <v>2.2999999999999998</v>
      </c>
      <c r="C141" s="640">
        <v>38549</v>
      </c>
      <c r="D141" s="607" t="s">
        <v>659</v>
      </c>
      <c r="E141" s="586"/>
      <c r="F141" s="586"/>
      <c r="G141" s="586"/>
      <c r="H141" s="586"/>
      <c r="I141" s="586"/>
      <c r="J141" s="586"/>
      <c r="K141" s="586"/>
      <c r="L141" s="586"/>
      <c r="M141" s="586"/>
      <c r="N141" s="586"/>
      <c r="O141" s="603"/>
      <c r="P141" s="233"/>
      <c r="Q141" s="233"/>
      <c r="R141" s="233"/>
      <c r="S141" s="233"/>
    </row>
    <row r="142" spans="1:19" ht="13">
      <c r="A142" s="233"/>
      <c r="B142" s="641" t="s">
        <v>291</v>
      </c>
      <c r="C142" s="640">
        <v>38623</v>
      </c>
      <c r="D142" s="607" t="s">
        <v>292</v>
      </c>
      <c r="E142" s="586"/>
      <c r="F142" s="586"/>
      <c r="G142" s="586"/>
      <c r="H142" s="586"/>
      <c r="I142" s="586"/>
      <c r="J142" s="586"/>
      <c r="K142" s="586"/>
      <c r="L142" s="586"/>
      <c r="M142" s="586"/>
      <c r="N142" s="586"/>
      <c r="O142" s="603"/>
      <c r="P142" s="233"/>
      <c r="Q142" s="233"/>
      <c r="R142" s="233"/>
      <c r="S142" s="233"/>
    </row>
    <row r="143" spans="1:19">
      <c r="A143" s="233"/>
      <c r="B143" s="641" t="s">
        <v>748</v>
      </c>
      <c r="C143" s="640">
        <v>38629</v>
      </c>
      <c r="D143" s="607" t="s">
        <v>749</v>
      </c>
      <c r="E143" s="586"/>
      <c r="F143" s="586"/>
      <c r="G143" s="586"/>
      <c r="H143" s="586"/>
      <c r="I143" s="586"/>
      <c r="J143" s="586"/>
      <c r="K143" s="586"/>
      <c r="L143" s="586"/>
      <c r="M143" s="586"/>
      <c r="N143" s="586"/>
      <c r="O143" s="603"/>
      <c r="P143" s="233"/>
      <c r="Q143" s="233"/>
      <c r="R143" s="233"/>
      <c r="S143" s="233"/>
    </row>
    <row r="144" spans="1:19">
      <c r="A144" s="233"/>
      <c r="B144" s="641">
        <v>2.4</v>
      </c>
      <c r="C144" s="640">
        <v>39012</v>
      </c>
      <c r="D144" s="607" t="s">
        <v>15</v>
      </c>
      <c r="E144" s="586"/>
      <c r="F144" s="586"/>
      <c r="G144" s="586"/>
      <c r="H144" s="586"/>
      <c r="I144" s="586"/>
      <c r="J144" s="586"/>
      <c r="K144" s="586"/>
      <c r="L144" s="586"/>
      <c r="M144" s="586"/>
      <c r="N144" s="586"/>
      <c r="O144" s="603"/>
      <c r="P144" s="233"/>
      <c r="Q144" s="233"/>
      <c r="R144" s="233"/>
      <c r="S144" s="233"/>
    </row>
    <row r="145" spans="1:19">
      <c r="A145" s="233"/>
      <c r="B145" s="641">
        <v>2.5</v>
      </c>
      <c r="C145" s="812" t="s">
        <v>208</v>
      </c>
      <c r="D145" s="607" t="s">
        <v>207</v>
      </c>
      <c r="E145" s="586"/>
      <c r="F145" s="586"/>
      <c r="G145" s="586"/>
      <c r="H145" s="586"/>
      <c r="I145" s="586"/>
      <c r="J145" s="586"/>
      <c r="K145" s="586"/>
      <c r="L145" s="586"/>
      <c r="M145" s="586"/>
      <c r="N145" s="586"/>
      <c r="O145" s="603"/>
      <c r="P145" s="233"/>
      <c r="Q145" s="233"/>
      <c r="R145" s="233"/>
      <c r="S145" s="233"/>
    </row>
    <row r="146" spans="1:19">
      <c r="A146" s="233"/>
      <c r="B146" s="830" t="s">
        <v>920</v>
      </c>
      <c r="C146" s="640">
        <v>39513</v>
      </c>
      <c r="D146" s="831" t="s">
        <v>922</v>
      </c>
      <c r="E146" s="586"/>
      <c r="F146" s="586"/>
      <c r="G146" s="586"/>
      <c r="H146" s="586"/>
      <c r="I146" s="586"/>
      <c r="J146" s="586"/>
      <c r="K146" s="586"/>
      <c r="L146" s="586"/>
      <c r="M146" s="586"/>
      <c r="N146" s="586"/>
      <c r="O146" s="603"/>
      <c r="P146" s="233"/>
      <c r="Q146" s="233"/>
      <c r="R146" s="233"/>
      <c r="S146" s="233"/>
    </row>
    <row r="147" spans="1:19">
      <c r="A147" s="233"/>
      <c r="B147" s="641" t="s">
        <v>921</v>
      </c>
      <c r="C147" s="640">
        <v>39525</v>
      </c>
      <c r="D147" s="607" t="s">
        <v>923</v>
      </c>
      <c r="E147" s="586"/>
      <c r="F147" s="586"/>
      <c r="G147" s="586"/>
      <c r="H147" s="586"/>
      <c r="I147" s="586"/>
      <c r="J147" s="586"/>
      <c r="K147" s="586"/>
      <c r="L147" s="586"/>
      <c r="M147" s="586"/>
      <c r="N147" s="586"/>
      <c r="O147" s="603"/>
      <c r="P147" s="233"/>
      <c r="Q147" s="233"/>
      <c r="R147" s="233"/>
      <c r="S147" s="233"/>
    </row>
    <row r="148" spans="1:19">
      <c r="A148" s="233"/>
      <c r="B148" s="830" t="s">
        <v>924</v>
      </c>
      <c r="C148" s="640">
        <v>39799</v>
      </c>
      <c r="D148" s="831" t="s">
        <v>925</v>
      </c>
      <c r="E148" s="586"/>
      <c r="F148" s="586"/>
      <c r="G148" s="586"/>
      <c r="H148" s="586"/>
      <c r="I148" s="586"/>
      <c r="J148" s="586"/>
      <c r="K148" s="586"/>
      <c r="L148" s="586"/>
      <c r="M148" s="586"/>
      <c r="N148" s="586"/>
      <c r="O148" s="603"/>
      <c r="P148" s="233"/>
      <c r="Q148" s="233"/>
      <c r="R148" s="233"/>
      <c r="S148" s="233"/>
    </row>
    <row r="149" spans="1:19">
      <c r="A149" s="233"/>
      <c r="B149" s="641" t="s">
        <v>927</v>
      </c>
      <c r="C149" s="640">
        <v>41709</v>
      </c>
      <c r="D149" s="607" t="s">
        <v>932</v>
      </c>
      <c r="E149" s="586"/>
      <c r="F149" s="586"/>
      <c r="G149" s="586"/>
      <c r="H149" s="586"/>
      <c r="I149" s="586"/>
      <c r="J149" s="586"/>
      <c r="K149" s="586"/>
      <c r="L149" s="586"/>
      <c r="M149" s="586"/>
      <c r="N149" s="586"/>
      <c r="O149" s="603"/>
      <c r="P149" s="233"/>
      <c r="Q149" s="233"/>
      <c r="R149" s="233"/>
      <c r="S149" s="233"/>
    </row>
    <row r="150" spans="1:19">
      <c r="A150" s="233"/>
      <c r="B150" s="889" t="s">
        <v>935</v>
      </c>
      <c r="C150" s="888">
        <v>42663</v>
      </c>
      <c r="D150" s="607" t="s">
        <v>937</v>
      </c>
      <c r="E150" s="586"/>
      <c r="F150" s="586"/>
      <c r="G150" s="586"/>
      <c r="H150" s="586"/>
      <c r="I150" s="586"/>
      <c r="J150" s="586"/>
      <c r="K150" s="586"/>
      <c r="L150" s="586"/>
      <c r="M150" s="586"/>
      <c r="N150" s="586"/>
      <c r="O150" s="603"/>
      <c r="P150" s="233"/>
      <c r="Q150" s="233"/>
      <c r="R150" s="233"/>
      <c r="S150" s="233"/>
    </row>
    <row r="151" spans="1:19">
      <c r="A151" s="233"/>
      <c r="B151" s="233"/>
      <c r="C151" s="233"/>
      <c r="D151" s="233"/>
      <c r="E151" s="233"/>
      <c r="F151" s="233"/>
      <c r="G151" s="233"/>
      <c r="H151" s="233"/>
      <c r="I151" s="233"/>
      <c r="J151" s="233"/>
      <c r="K151" s="233"/>
      <c r="L151" s="233"/>
      <c r="M151" s="233"/>
      <c r="N151" s="233"/>
      <c r="O151" s="233"/>
      <c r="P151" s="233"/>
      <c r="Q151" s="233"/>
      <c r="R151" s="233"/>
      <c r="S151" s="233"/>
    </row>
    <row r="152" spans="1:19">
      <c r="A152" s="233"/>
      <c r="B152" s="233"/>
      <c r="C152" s="233"/>
      <c r="D152" s="233"/>
      <c r="E152" s="233"/>
      <c r="F152" s="233"/>
      <c r="G152" s="233"/>
      <c r="H152" s="233"/>
      <c r="I152" s="233"/>
      <c r="J152" s="233"/>
      <c r="K152" s="233"/>
      <c r="L152" s="233"/>
      <c r="M152" s="233"/>
      <c r="N152" s="233"/>
      <c r="O152" s="233"/>
      <c r="P152" s="233"/>
      <c r="Q152" s="233"/>
      <c r="R152" s="233"/>
      <c r="S152" s="233"/>
    </row>
    <row r="153" spans="1:19">
      <c r="A153" s="233"/>
      <c r="B153" s="233"/>
      <c r="C153" s="233"/>
      <c r="D153" s="233"/>
      <c r="E153" s="233"/>
      <c r="F153" s="233"/>
      <c r="G153" s="233"/>
      <c r="H153" s="233"/>
      <c r="I153" s="233"/>
      <c r="J153" s="233"/>
      <c r="K153" s="233"/>
      <c r="L153" s="233"/>
      <c r="M153" s="233"/>
      <c r="N153" s="233"/>
      <c r="O153" s="233"/>
      <c r="P153" s="233"/>
      <c r="Q153" s="233"/>
      <c r="R153" s="233"/>
      <c r="S153" s="233"/>
    </row>
    <row r="154" spans="1:19">
      <c r="A154" s="233"/>
      <c r="B154" s="233"/>
      <c r="C154" s="233"/>
      <c r="D154" s="233"/>
      <c r="E154" s="233"/>
      <c r="F154" s="233"/>
      <c r="G154" s="233"/>
      <c r="H154" s="233"/>
      <c r="I154" s="233"/>
      <c r="J154" s="233"/>
      <c r="K154" s="233"/>
      <c r="L154" s="233"/>
      <c r="M154" s="233"/>
      <c r="N154" s="233"/>
      <c r="O154" s="233"/>
      <c r="P154" s="233"/>
      <c r="Q154" s="233"/>
      <c r="R154" s="233"/>
      <c r="S154" s="233"/>
    </row>
    <row r="155" spans="1:19">
      <c r="A155" s="233"/>
      <c r="B155" s="233"/>
      <c r="C155" s="233"/>
      <c r="D155" s="233"/>
      <c r="E155" s="233"/>
      <c r="F155" s="233"/>
      <c r="G155" s="233"/>
      <c r="H155" s="233"/>
      <c r="I155" s="233"/>
      <c r="J155" s="233"/>
      <c r="K155" s="233"/>
      <c r="L155" s="233"/>
      <c r="M155" s="233"/>
      <c r="N155" s="233"/>
      <c r="O155" s="233"/>
      <c r="P155" s="233"/>
      <c r="Q155" s="233"/>
      <c r="R155" s="233"/>
      <c r="S155" s="233"/>
    </row>
    <row r="156" spans="1:19">
      <c r="A156" s="233"/>
      <c r="B156" s="233"/>
      <c r="C156" s="233"/>
      <c r="D156" s="233"/>
      <c r="E156" s="233"/>
      <c r="F156" s="233"/>
      <c r="G156" s="233"/>
      <c r="H156" s="233"/>
      <c r="I156" s="233"/>
      <c r="J156" s="233"/>
      <c r="K156" s="233"/>
      <c r="L156" s="233"/>
      <c r="M156" s="233"/>
      <c r="N156" s="233"/>
      <c r="O156" s="233"/>
      <c r="P156" s="233"/>
      <c r="Q156" s="233"/>
      <c r="R156" s="233"/>
      <c r="S156" s="233"/>
    </row>
    <row r="157" spans="1:19">
      <c r="A157" s="233"/>
      <c r="B157" s="233"/>
      <c r="C157" s="233"/>
      <c r="D157" s="233"/>
      <c r="E157" s="233"/>
      <c r="F157" s="233"/>
      <c r="G157" s="233"/>
      <c r="H157" s="233"/>
      <c r="I157" s="233"/>
      <c r="J157" s="233"/>
      <c r="K157" s="233"/>
      <c r="L157" s="233"/>
      <c r="M157" s="233"/>
      <c r="N157" s="233"/>
      <c r="O157" s="233"/>
      <c r="P157" s="233"/>
      <c r="Q157" s="233"/>
      <c r="R157" s="233"/>
      <c r="S157" s="233"/>
    </row>
    <row r="158" spans="1:19">
      <c r="A158" s="233"/>
      <c r="B158" s="233"/>
      <c r="C158" s="233"/>
      <c r="D158" s="233"/>
      <c r="E158" s="233"/>
      <c r="F158" s="233"/>
      <c r="G158" s="233"/>
      <c r="H158" s="233"/>
      <c r="I158" s="233"/>
      <c r="J158" s="233"/>
      <c r="K158" s="233"/>
      <c r="L158" s="233"/>
      <c r="M158" s="233"/>
      <c r="N158" s="233"/>
      <c r="O158" s="233"/>
      <c r="P158" s="233"/>
      <c r="Q158" s="233"/>
      <c r="R158" s="233"/>
      <c r="S158" s="233"/>
    </row>
    <row r="159" spans="1:19">
      <c r="A159" s="233"/>
      <c r="B159" s="233"/>
      <c r="C159" s="233"/>
      <c r="D159" s="233"/>
      <c r="E159" s="233"/>
      <c r="F159" s="233"/>
      <c r="G159" s="233"/>
      <c r="H159" s="233"/>
      <c r="I159" s="233"/>
      <c r="J159" s="233"/>
      <c r="K159" s="233"/>
      <c r="L159" s="233"/>
      <c r="M159" s="233"/>
      <c r="N159" s="233"/>
      <c r="O159" s="233"/>
      <c r="P159" s="233"/>
      <c r="Q159" s="233"/>
      <c r="R159" s="233"/>
      <c r="S159" s="233"/>
    </row>
    <row r="160" spans="1:19">
      <c r="A160" s="233"/>
      <c r="B160" s="233"/>
      <c r="C160" s="233"/>
      <c r="D160" s="233"/>
      <c r="E160" s="233"/>
      <c r="F160" s="233"/>
      <c r="G160" s="233"/>
      <c r="H160" s="233"/>
      <c r="I160" s="233"/>
      <c r="J160" s="233"/>
      <c r="K160" s="233"/>
      <c r="L160" s="233"/>
      <c r="M160" s="233"/>
      <c r="N160" s="233"/>
      <c r="O160" s="233"/>
      <c r="P160" s="233"/>
      <c r="Q160" s="233"/>
      <c r="R160" s="233"/>
      <c r="S160" s="233"/>
    </row>
    <row r="161" spans="1:19">
      <c r="A161" s="233"/>
      <c r="B161" s="233"/>
      <c r="C161" s="233"/>
      <c r="D161" s="233"/>
      <c r="E161" s="233"/>
      <c r="F161" s="233"/>
      <c r="G161" s="233"/>
      <c r="H161" s="233"/>
      <c r="I161" s="233"/>
      <c r="J161" s="233"/>
      <c r="K161" s="233"/>
      <c r="L161" s="233"/>
      <c r="M161" s="233"/>
      <c r="N161" s="233"/>
      <c r="O161" s="233"/>
      <c r="P161" s="233"/>
      <c r="Q161" s="233"/>
      <c r="R161" s="233"/>
      <c r="S161" s="233"/>
    </row>
    <row r="162" spans="1:19">
      <c r="A162" s="233"/>
      <c r="B162" s="233"/>
      <c r="C162" s="233"/>
      <c r="D162" s="233"/>
      <c r="E162" s="233"/>
      <c r="F162" s="233"/>
      <c r="G162" s="233"/>
      <c r="H162" s="233"/>
      <c r="I162" s="233"/>
      <c r="J162" s="233"/>
      <c r="K162" s="233"/>
      <c r="L162" s="233"/>
      <c r="M162" s="233"/>
      <c r="N162" s="233"/>
      <c r="O162" s="233"/>
      <c r="P162" s="233"/>
      <c r="Q162" s="233"/>
      <c r="R162" s="233"/>
      <c r="S162" s="233"/>
    </row>
    <row r="163" spans="1:19">
      <c r="A163" s="233"/>
      <c r="B163" s="233"/>
      <c r="C163" s="233"/>
      <c r="D163" s="233"/>
      <c r="E163" s="233"/>
      <c r="F163" s="233"/>
      <c r="G163" s="233"/>
      <c r="H163" s="233"/>
      <c r="I163" s="233"/>
      <c r="J163" s="233"/>
      <c r="K163" s="233"/>
      <c r="L163" s="233"/>
      <c r="M163" s="233"/>
      <c r="N163" s="233"/>
      <c r="O163" s="233"/>
      <c r="P163" s="233"/>
      <c r="Q163" s="233"/>
      <c r="R163" s="233"/>
      <c r="S163" s="233"/>
    </row>
    <row r="164" spans="1:19">
      <c r="A164" s="233"/>
      <c r="B164" s="233"/>
      <c r="C164" s="233"/>
      <c r="D164" s="233"/>
      <c r="E164" s="233"/>
      <c r="F164" s="233"/>
      <c r="G164" s="233"/>
      <c r="H164" s="233"/>
      <c r="I164" s="233"/>
      <c r="J164" s="233"/>
      <c r="K164" s="233"/>
      <c r="L164" s="233"/>
      <c r="M164" s="233"/>
      <c r="N164" s="233"/>
      <c r="O164" s="233"/>
      <c r="P164" s="233"/>
      <c r="Q164" s="233"/>
      <c r="R164" s="233"/>
      <c r="S164" s="233"/>
    </row>
    <row r="165" spans="1:19">
      <c r="A165" s="233"/>
      <c r="B165" s="233"/>
      <c r="C165" s="233"/>
      <c r="D165" s="233"/>
      <c r="E165" s="233"/>
      <c r="F165" s="233"/>
      <c r="G165" s="233"/>
      <c r="H165" s="233"/>
      <c r="I165" s="233"/>
      <c r="J165" s="233"/>
      <c r="K165" s="233"/>
      <c r="L165" s="233"/>
      <c r="M165" s="233"/>
      <c r="N165" s="233"/>
      <c r="O165" s="233"/>
      <c r="P165" s="233"/>
      <c r="Q165" s="233"/>
      <c r="R165" s="233"/>
      <c r="S165" s="233"/>
    </row>
    <row r="166" spans="1:19">
      <c r="A166" s="233"/>
      <c r="B166" s="233"/>
      <c r="C166" s="233"/>
      <c r="D166" s="233"/>
      <c r="E166" s="233"/>
      <c r="F166" s="233"/>
      <c r="G166" s="233"/>
      <c r="H166" s="233"/>
      <c r="I166" s="233"/>
      <c r="J166" s="233"/>
      <c r="K166" s="233"/>
      <c r="L166" s="233"/>
      <c r="M166" s="233"/>
      <c r="N166" s="233"/>
      <c r="O166" s="233"/>
      <c r="P166" s="233"/>
      <c r="Q166" s="233"/>
      <c r="R166" s="233"/>
      <c r="S166" s="233"/>
    </row>
    <row r="167" spans="1:19">
      <c r="A167" s="233"/>
      <c r="B167" s="233"/>
      <c r="C167" s="233"/>
      <c r="D167" s="233"/>
      <c r="E167" s="233"/>
      <c r="F167" s="233"/>
      <c r="G167" s="233"/>
      <c r="H167" s="233"/>
      <c r="I167" s="233"/>
      <c r="J167" s="233"/>
      <c r="K167" s="233"/>
      <c r="L167" s="233"/>
      <c r="M167" s="233"/>
      <c r="N167" s="233"/>
      <c r="O167" s="233"/>
      <c r="P167" s="233"/>
      <c r="Q167" s="233"/>
      <c r="R167" s="233"/>
      <c r="S167" s="233"/>
    </row>
    <row r="168" spans="1:19">
      <c r="A168" s="233"/>
      <c r="B168" s="233"/>
      <c r="C168" s="233"/>
      <c r="D168" s="233"/>
      <c r="E168" s="233"/>
      <c r="F168" s="233"/>
      <c r="G168" s="233"/>
      <c r="H168" s="233"/>
      <c r="I168" s="233"/>
      <c r="J168" s="233"/>
      <c r="K168" s="233"/>
      <c r="L168" s="233"/>
      <c r="M168" s="233"/>
      <c r="N168" s="233"/>
      <c r="O168" s="233"/>
      <c r="P168" s="233"/>
      <c r="Q168" s="233"/>
      <c r="R168" s="233"/>
      <c r="S168" s="233"/>
    </row>
    <row r="169" spans="1:19">
      <c r="A169" s="233"/>
      <c r="B169" s="233"/>
      <c r="C169" s="233"/>
      <c r="D169" s="233"/>
      <c r="E169" s="233"/>
      <c r="F169" s="233"/>
      <c r="G169" s="233"/>
      <c r="H169" s="233"/>
      <c r="I169" s="233"/>
      <c r="J169" s="233"/>
      <c r="K169" s="233"/>
      <c r="L169" s="233"/>
      <c r="M169" s="233"/>
      <c r="N169" s="233"/>
      <c r="O169" s="233"/>
      <c r="P169" s="233"/>
      <c r="Q169" s="233"/>
      <c r="R169" s="233"/>
      <c r="S169" s="233"/>
    </row>
  </sheetData>
  <phoneticPr fontId="26" type="noConversion"/>
  <pageMargins left="0.75" right="0.75" top="1" bottom="1" header="0.5" footer="0.5"/>
  <pageSetup paperSize="9" orientation="portrait" horizontalDpi="4294967293" verticalDpi="0"/>
  <headerFooter alignWithMargins="0"/>
  <legacyDrawing r:id="rId1"/>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0">
    <tabColor indexed="57"/>
  </sheetPr>
  <dimension ref="A1:U55"/>
  <sheetViews>
    <sheetView zoomScale="150" zoomScaleNormal="150" workbookViewId="0">
      <selection activeCell="K1" sqref="K1"/>
    </sheetView>
  </sheetViews>
  <sheetFormatPr defaultColWidth="8.81640625" defaultRowHeight="12.5"/>
  <cols>
    <col min="2" max="2" width="15.81640625" customWidth="1"/>
  </cols>
  <sheetData>
    <row r="1" spans="1:21" ht="18">
      <c r="A1" s="796" t="s">
        <v>29</v>
      </c>
      <c r="B1" s="384"/>
      <c r="C1" s="384"/>
      <c r="D1" s="384"/>
      <c r="E1" s="384"/>
      <c r="F1" s="384"/>
      <c r="G1" s="384"/>
      <c r="H1" s="384"/>
      <c r="I1" s="384"/>
      <c r="J1" s="384"/>
      <c r="K1" s="384"/>
      <c r="L1" s="384"/>
      <c r="M1" s="384"/>
      <c r="N1" s="384"/>
      <c r="O1" s="384"/>
      <c r="P1" s="384"/>
      <c r="Q1" s="384"/>
      <c r="R1" s="384"/>
      <c r="S1" s="384"/>
      <c r="T1" s="384"/>
      <c r="U1" s="37"/>
    </row>
    <row r="2" spans="1:21" ht="13" thickBot="1">
      <c r="A2" s="127"/>
      <c r="B2" s="127"/>
      <c r="C2" s="127"/>
      <c r="D2" s="127"/>
      <c r="E2" s="127"/>
      <c r="F2" s="127"/>
      <c r="G2" s="127"/>
      <c r="H2" s="127"/>
      <c r="I2" s="127"/>
      <c r="J2" s="127"/>
      <c r="K2" s="127"/>
      <c r="L2" s="127"/>
      <c r="M2" s="127"/>
      <c r="N2" s="127"/>
      <c r="O2" s="127"/>
      <c r="P2" s="127"/>
      <c r="Q2" s="127"/>
      <c r="R2" s="127"/>
      <c r="S2" s="127"/>
      <c r="T2" s="127"/>
      <c r="U2" s="127"/>
    </row>
    <row r="3" spans="1:21" ht="13">
      <c r="A3" s="23"/>
      <c r="B3" s="797" t="s">
        <v>500</v>
      </c>
      <c r="C3" s="101"/>
      <c r="D3" s="101"/>
      <c r="E3" s="101"/>
      <c r="F3" s="101"/>
      <c r="G3" s="101"/>
      <c r="H3" s="101"/>
      <c r="I3" s="101"/>
      <c r="J3" s="105"/>
      <c r="K3" s="23"/>
      <c r="L3" s="23"/>
      <c r="M3" s="23"/>
      <c r="N3" s="23"/>
      <c r="O3" s="23"/>
      <c r="P3" s="23"/>
      <c r="Q3" s="23"/>
      <c r="R3" s="23"/>
      <c r="S3" s="23"/>
      <c r="T3" s="23"/>
      <c r="U3" s="23"/>
    </row>
    <row r="4" spans="1:21">
      <c r="A4" s="23"/>
      <c r="B4" s="100" t="s">
        <v>304</v>
      </c>
      <c r="C4" s="101"/>
      <c r="D4" s="101"/>
      <c r="E4" s="101"/>
      <c r="F4" s="101"/>
      <c r="G4" s="101"/>
      <c r="H4" s="101"/>
      <c r="I4" s="101"/>
      <c r="J4" s="105"/>
      <c r="K4" s="23"/>
      <c r="L4" s="23"/>
      <c r="M4" s="23"/>
      <c r="N4" s="23"/>
      <c r="O4" s="23"/>
      <c r="P4" s="23"/>
      <c r="Q4" s="23"/>
      <c r="R4" s="23"/>
      <c r="S4" s="23"/>
      <c r="T4" s="23"/>
      <c r="U4" s="23"/>
    </row>
    <row r="5" spans="1:21" ht="13">
      <c r="A5" s="23"/>
      <c r="B5" s="791" t="s">
        <v>313</v>
      </c>
      <c r="C5" s="788">
        <f>Orbit!B98</f>
        <v>19.062200000000001</v>
      </c>
      <c r="D5" s="101" t="s">
        <v>4</v>
      </c>
      <c r="E5" s="101"/>
      <c r="F5" s="101"/>
      <c r="G5" s="101"/>
      <c r="H5" s="101"/>
      <c r="I5" s="101"/>
      <c r="J5" s="105"/>
      <c r="K5" s="23"/>
      <c r="L5" s="23"/>
      <c r="M5" s="23"/>
      <c r="N5" s="23"/>
      <c r="O5" s="23"/>
      <c r="P5" s="23"/>
      <c r="Q5" s="23"/>
      <c r="R5" s="23"/>
      <c r="S5" s="23"/>
      <c r="T5" s="23"/>
      <c r="U5" s="23"/>
    </row>
    <row r="6" spans="1:21">
      <c r="A6" s="23"/>
      <c r="B6" s="100" t="s">
        <v>314</v>
      </c>
      <c r="C6" s="31">
        <f>IF(C5&gt;0,1,0)</f>
        <v>1</v>
      </c>
      <c r="D6" s="101"/>
      <c r="E6" s="101" t="s">
        <v>715</v>
      </c>
      <c r="F6" s="101"/>
      <c r="G6" s="101" t="s">
        <v>315</v>
      </c>
      <c r="H6" s="101"/>
      <c r="I6" s="101"/>
      <c r="J6" s="105"/>
      <c r="K6" s="23"/>
      <c r="L6" s="23"/>
      <c r="M6" s="23"/>
      <c r="N6" s="23"/>
      <c r="O6" s="23"/>
      <c r="P6" s="23"/>
      <c r="Q6" s="23"/>
      <c r="R6" s="23"/>
      <c r="S6" s="23"/>
      <c r="T6" s="23"/>
      <c r="U6" s="23"/>
    </row>
    <row r="7" spans="1:21">
      <c r="A7" s="23"/>
      <c r="B7" s="100"/>
      <c r="C7" s="31">
        <f>N(NOT(C6))</f>
        <v>0</v>
      </c>
      <c r="D7" s="101"/>
      <c r="E7" s="101"/>
      <c r="F7" s="101"/>
      <c r="G7" s="101" t="s">
        <v>316</v>
      </c>
      <c r="H7" s="101"/>
      <c r="I7" s="101"/>
      <c r="J7" s="105"/>
      <c r="K7" s="23"/>
      <c r="L7" s="23"/>
      <c r="M7" s="23"/>
      <c r="N7" s="23"/>
      <c r="O7" s="23"/>
      <c r="P7" s="23"/>
      <c r="Q7" s="23"/>
      <c r="R7" s="23"/>
      <c r="S7" s="23"/>
      <c r="T7" s="23"/>
      <c r="U7" s="23"/>
    </row>
    <row r="8" spans="1:21" ht="13">
      <c r="A8" s="23"/>
      <c r="B8" s="792" t="s">
        <v>320</v>
      </c>
      <c r="C8" s="788">
        <f>Orbit!B101</f>
        <v>-16.625799999999998</v>
      </c>
      <c r="D8" s="101" t="s">
        <v>4</v>
      </c>
      <c r="E8" s="101" t="s">
        <v>715</v>
      </c>
      <c r="F8" s="101"/>
      <c r="G8" s="101" t="s">
        <v>715</v>
      </c>
      <c r="H8" s="101"/>
      <c r="I8" s="101"/>
      <c r="J8" s="105"/>
      <c r="K8" s="23"/>
      <c r="L8" s="23"/>
      <c r="M8" s="23"/>
      <c r="N8" s="23"/>
      <c r="O8" s="23"/>
      <c r="P8" s="23"/>
      <c r="Q8" s="23"/>
      <c r="R8" s="23"/>
      <c r="S8" s="23"/>
      <c r="T8" s="23"/>
      <c r="U8" s="23"/>
    </row>
    <row r="9" spans="1:21">
      <c r="A9" s="23"/>
      <c r="B9" s="100" t="s">
        <v>305</v>
      </c>
      <c r="C9" s="31">
        <f>IF(C8&gt;0,1,0)</f>
        <v>0</v>
      </c>
      <c r="D9" s="101"/>
      <c r="E9" s="101"/>
      <c r="F9" s="101"/>
      <c r="G9" s="101" t="s">
        <v>317</v>
      </c>
      <c r="H9" s="101"/>
      <c r="I9" s="101"/>
      <c r="J9" s="105"/>
      <c r="K9" s="23"/>
      <c r="L9" s="23"/>
      <c r="M9" s="23"/>
      <c r="N9" s="23"/>
      <c r="O9" s="23"/>
      <c r="P9" s="23"/>
      <c r="Q9" s="23"/>
      <c r="R9" s="23"/>
      <c r="S9" s="23"/>
      <c r="T9" s="23"/>
      <c r="U9" s="23"/>
    </row>
    <row r="10" spans="1:21">
      <c r="A10" s="23"/>
      <c r="B10" s="100"/>
      <c r="C10" s="31">
        <f>N(NOT(C9))</f>
        <v>1</v>
      </c>
      <c r="D10" s="101"/>
      <c r="E10" s="101"/>
      <c r="F10" s="101"/>
      <c r="G10" s="101" t="s">
        <v>318</v>
      </c>
      <c r="H10" s="101"/>
      <c r="I10" s="101"/>
      <c r="J10" s="105"/>
      <c r="K10" s="23"/>
      <c r="L10" s="23"/>
      <c r="M10" s="23"/>
      <c r="N10" s="23"/>
      <c r="O10" s="23"/>
      <c r="P10" s="23"/>
      <c r="Q10" s="23"/>
      <c r="R10" s="23"/>
      <c r="S10" s="23"/>
      <c r="T10" s="23"/>
      <c r="U10" s="23"/>
    </row>
    <row r="11" spans="1:21">
      <c r="A11" s="23"/>
      <c r="B11" s="100"/>
      <c r="C11" s="795" t="s">
        <v>328</v>
      </c>
      <c r="D11" s="101"/>
      <c r="E11" s="795" t="s">
        <v>326</v>
      </c>
      <c r="F11" s="101"/>
      <c r="G11" s="795" t="s">
        <v>206</v>
      </c>
      <c r="H11" s="101"/>
      <c r="I11" s="101"/>
      <c r="J11" s="105"/>
      <c r="K11" s="23"/>
      <c r="L11" s="23"/>
      <c r="M11" s="23"/>
      <c r="N11" s="23"/>
      <c r="O11" s="23"/>
      <c r="P11" s="23"/>
      <c r="Q11" s="23"/>
      <c r="R11" s="23"/>
      <c r="S11" s="23"/>
      <c r="T11" s="23"/>
      <c r="U11" s="23"/>
    </row>
    <row r="12" spans="1:21">
      <c r="A12" s="23"/>
      <c r="B12" s="793" t="s">
        <v>306</v>
      </c>
      <c r="C12" s="31">
        <f>N(AND(C7,C10))</f>
        <v>0</v>
      </c>
      <c r="D12" s="101"/>
      <c r="E12" s="794">
        <f>C12*(-C17)</f>
        <v>0</v>
      </c>
      <c r="F12" s="101" t="s">
        <v>4</v>
      </c>
      <c r="G12" s="101" t="s">
        <v>310</v>
      </c>
      <c r="H12" s="101"/>
      <c r="I12" s="101"/>
      <c r="J12" s="105"/>
      <c r="K12" s="23"/>
      <c r="L12" s="23"/>
      <c r="M12" s="23"/>
      <c r="N12" s="23"/>
      <c r="O12" s="23"/>
      <c r="P12" s="23"/>
      <c r="Q12" s="23"/>
      <c r="R12" s="23"/>
      <c r="S12" s="23"/>
      <c r="T12" s="23"/>
      <c r="U12" s="23"/>
    </row>
    <row r="13" spans="1:21">
      <c r="A13" s="23"/>
      <c r="B13" s="100" t="s">
        <v>308</v>
      </c>
      <c r="C13" s="31">
        <f>N(AND(C6,C10))</f>
        <v>1</v>
      </c>
      <c r="D13" s="101"/>
      <c r="E13" s="794">
        <f>C13*(180-C17)</f>
        <v>137.56350986344964</v>
      </c>
      <c r="F13" s="101" t="s">
        <v>4</v>
      </c>
      <c r="G13" s="101" t="s">
        <v>312</v>
      </c>
      <c r="H13" s="101"/>
      <c r="I13" s="101"/>
      <c r="J13" s="105"/>
      <c r="K13" s="23"/>
      <c r="L13" s="23"/>
      <c r="M13" s="23"/>
      <c r="N13" s="23"/>
      <c r="O13" s="23"/>
      <c r="P13" s="23"/>
      <c r="Q13" s="23"/>
      <c r="R13" s="23"/>
      <c r="S13" s="23"/>
      <c r="T13" s="23"/>
      <c r="U13" s="23"/>
    </row>
    <row r="14" spans="1:21">
      <c r="A14" s="23"/>
      <c r="B14" s="793" t="s">
        <v>309</v>
      </c>
      <c r="C14" s="31">
        <f>N(AND(C6,C9))</f>
        <v>0</v>
      </c>
      <c r="D14" s="101"/>
      <c r="E14" s="794">
        <f>C14*(180-C17)</f>
        <v>0</v>
      </c>
      <c r="F14" s="101" t="s">
        <v>4</v>
      </c>
      <c r="G14" s="101" t="s">
        <v>319</v>
      </c>
      <c r="H14" s="101"/>
      <c r="I14" s="101"/>
      <c r="J14" s="105"/>
      <c r="K14" s="23"/>
      <c r="L14" s="23"/>
      <c r="M14" s="23"/>
      <c r="N14" s="23"/>
      <c r="O14" s="23"/>
      <c r="P14" s="23"/>
      <c r="Q14" s="23"/>
      <c r="R14" s="23"/>
      <c r="S14" s="23"/>
      <c r="T14" s="23"/>
      <c r="U14" s="23"/>
    </row>
    <row r="15" spans="1:21">
      <c r="A15" s="23"/>
      <c r="B15" s="793" t="s">
        <v>307</v>
      </c>
      <c r="C15" s="31">
        <f>N(AND(C7,C9))</f>
        <v>0</v>
      </c>
      <c r="D15" s="101"/>
      <c r="E15" s="794">
        <f>C15*(360-C17)</f>
        <v>0</v>
      </c>
      <c r="F15" s="101" t="s">
        <v>4</v>
      </c>
      <c r="G15" s="101" t="s">
        <v>311</v>
      </c>
      <c r="H15" s="101"/>
      <c r="I15" s="101"/>
      <c r="J15" s="105"/>
      <c r="K15" s="23"/>
      <c r="L15" s="23"/>
      <c r="M15" s="23"/>
      <c r="N15" s="23"/>
      <c r="O15" s="23"/>
      <c r="P15" s="23"/>
      <c r="Q15" s="23"/>
      <c r="R15" s="23"/>
      <c r="S15" s="23"/>
      <c r="T15" s="23"/>
      <c r="U15" s="23"/>
    </row>
    <row r="16" spans="1:21">
      <c r="A16" s="23"/>
      <c r="B16" s="100"/>
      <c r="C16" s="101"/>
      <c r="D16" s="101"/>
      <c r="E16" s="101"/>
      <c r="F16" s="101"/>
      <c r="G16" s="101"/>
      <c r="H16" s="101"/>
      <c r="I16" s="101"/>
      <c r="J16" s="105"/>
      <c r="K16" s="23"/>
      <c r="L16" s="23"/>
      <c r="M16" s="23"/>
      <c r="N16" s="23"/>
      <c r="O16" s="23"/>
      <c r="P16" s="23"/>
      <c r="Q16" s="23"/>
      <c r="R16" s="23"/>
      <c r="S16" s="23"/>
      <c r="T16" s="23"/>
      <c r="U16" s="23"/>
    </row>
    <row r="17" spans="1:21" ht="13">
      <c r="A17" s="23"/>
      <c r="B17" s="791" t="s">
        <v>321</v>
      </c>
      <c r="C17" s="787">
        <f>Orbit!B107</f>
        <v>42.436490136550354</v>
      </c>
      <c r="D17" s="101" t="s">
        <v>4</v>
      </c>
      <c r="E17" s="101"/>
      <c r="F17" s="101"/>
      <c r="G17" s="101"/>
      <c r="H17" s="101"/>
      <c r="I17" s="101"/>
      <c r="J17" s="105"/>
      <c r="K17" s="23"/>
      <c r="L17" s="23"/>
      <c r="M17" s="23"/>
      <c r="N17" s="23"/>
      <c r="O17" s="23"/>
      <c r="P17" s="23"/>
      <c r="Q17" s="23"/>
      <c r="R17" s="23"/>
      <c r="S17" s="23"/>
      <c r="T17" s="23"/>
      <c r="U17" s="23"/>
    </row>
    <row r="18" spans="1:21">
      <c r="A18" s="23"/>
      <c r="B18" s="100"/>
      <c r="C18" s="101"/>
      <c r="D18" s="101"/>
      <c r="E18" s="101"/>
      <c r="F18" s="101"/>
      <c r="G18" s="101"/>
      <c r="H18" s="101"/>
      <c r="I18" s="101"/>
      <c r="J18" s="105"/>
      <c r="K18" s="23"/>
      <c r="L18" s="23"/>
      <c r="M18" s="23"/>
      <c r="N18" s="23"/>
      <c r="O18" s="23"/>
      <c r="P18" s="23"/>
      <c r="Q18" s="23"/>
      <c r="R18" s="23"/>
      <c r="S18" s="23"/>
      <c r="T18" s="23"/>
      <c r="U18" s="23"/>
    </row>
    <row r="19" spans="1:21" ht="13">
      <c r="A19" s="23"/>
      <c r="B19" s="791" t="s">
        <v>322</v>
      </c>
      <c r="C19" s="101"/>
      <c r="D19" s="101"/>
      <c r="E19" s="789">
        <f>SUM(E12:E15)</f>
        <v>137.56350986344964</v>
      </c>
      <c r="F19" s="410" t="s">
        <v>4</v>
      </c>
      <c r="G19" s="101"/>
      <c r="H19" s="101"/>
      <c r="I19" s="101"/>
      <c r="J19" s="105"/>
      <c r="K19" s="23"/>
      <c r="L19" s="23"/>
      <c r="M19" s="23"/>
      <c r="N19" s="23"/>
      <c r="O19" s="23"/>
      <c r="P19" s="23"/>
      <c r="Q19" s="23"/>
      <c r="R19" s="23"/>
      <c r="S19" s="23"/>
      <c r="T19" s="23"/>
      <c r="U19" s="23"/>
    </row>
    <row r="20" spans="1:21">
      <c r="A20" s="23"/>
      <c r="B20" s="100"/>
      <c r="C20" s="101"/>
      <c r="D20" s="101"/>
      <c r="E20" s="101"/>
      <c r="F20" s="101"/>
      <c r="G20" s="101"/>
      <c r="H20" s="101"/>
      <c r="I20" s="101"/>
      <c r="J20" s="105"/>
      <c r="K20" s="23"/>
      <c r="L20" s="23"/>
      <c r="M20" s="23"/>
      <c r="N20" s="23"/>
      <c r="O20" s="23"/>
      <c r="P20" s="23"/>
      <c r="Q20" s="23"/>
      <c r="R20" s="23"/>
      <c r="S20" s="23"/>
      <c r="T20" s="23"/>
      <c r="U20" s="23"/>
    </row>
    <row r="21" spans="1:21" ht="13" thickBot="1">
      <c r="A21" s="23"/>
      <c r="B21" s="111"/>
      <c r="C21" s="112"/>
      <c r="D21" s="112"/>
      <c r="E21" s="112"/>
      <c r="F21" s="112"/>
      <c r="G21" s="112"/>
      <c r="H21" s="112"/>
      <c r="I21" s="112"/>
      <c r="J21" s="113"/>
      <c r="K21" s="23"/>
      <c r="L21" s="23"/>
      <c r="M21" s="23"/>
      <c r="N21" s="23"/>
      <c r="O21" s="23"/>
      <c r="P21" s="23"/>
      <c r="Q21" s="23"/>
      <c r="R21" s="23"/>
      <c r="S21" s="23"/>
      <c r="T21" s="23"/>
      <c r="U21" s="23"/>
    </row>
    <row r="22" spans="1:21">
      <c r="A22" s="23"/>
      <c r="B22" s="23"/>
      <c r="C22" s="23"/>
      <c r="D22" s="23"/>
      <c r="E22" s="23"/>
      <c r="F22" s="23"/>
      <c r="G22" s="23"/>
      <c r="H22" s="23"/>
      <c r="I22" s="23"/>
      <c r="J22" s="23"/>
      <c r="K22" s="23"/>
      <c r="L22" s="23"/>
      <c r="M22" s="23"/>
      <c r="N22" s="23"/>
      <c r="O22" s="23"/>
      <c r="P22" s="23"/>
      <c r="Q22" s="23"/>
      <c r="R22" s="23"/>
      <c r="S22" s="23"/>
      <c r="T22" s="23"/>
      <c r="U22" s="23"/>
    </row>
    <row r="23" spans="1:21" ht="13" thickBot="1">
      <c r="A23" s="23"/>
      <c r="B23" s="799"/>
      <c r="C23" s="799"/>
      <c r="D23" s="799"/>
      <c r="E23" s="799"/>
      <c r="F23" s="799"/>
      <c r="G23" s="799"/>
      <c r="H23" s="799"/>
      <c r="I23" s="799"/>
      <c r="J23" s="799"/>
      <c r="K23" s="23"/>
      <c r="L23" s="23"/>
      <c r="M23" s="23"/>
      <c r="N23" s="23"/>
      <c r="O23" s="23"/>
      <c r="P23" s="23"/>
      <c r="Q23" s="23"/>
      <c r="R23" s="23"/>
      <c r="S23" s="23"/>
      <c r="T23" s="23"/>
      <c r="U23" s="23"/>
    </row>
    <row r="24" spans="1:21" ht="13">
      <c r="A24" s="23"/>
      <c r="B24" s="797" t="s">
        <v>28</v>
      </c>
      <c r="C24" s="101"/>
      <c r="D24" s="101"/>
      <c r="E24" s="101"/>
      <c r="F24" s="101"/>
      <c r="G24" s="101"/>
      <c r="H24" s="101"/>
      <c r="I24" s="101"/>
      <c r="J24" s="105"/>
      <c r="K24" s="23"/>
      <c r="L24" s="23"/>
      <c r="M24" s="23"/>
      <c r="N24" s="23"/>
      <c r="O24" s="23"/>
      <c r="P24" s="23"/>
      <c r="Q24" s="23"/>
      <c r="R24" s="23"/>
      <c r="S24" s="23"/>
      <c r="T24" s="23"/>
      <c r="U24" s="23"/>
    </row>
    <row r="25" spans="1:21">
      <c r="A25" s="23"/>
      <c r="B25" s="100" t="s">
        <v>304</v>
      </c>
      <c r="C25" s="101"/>
      <c r="D25" s="101"/>
      <c r="E25" s="101"/>
      <c r="F25" s="101"/>
      <c r="G25" s="101"/>
      <c r="H25" s="101"/>
      <c r="I25" s="101"/>
      <c r="J25" s="105"/>
      <c r="K25" s="23"/>
      <c r="L25" s="23"/>
      <c r="M25" s="23"/>
      <c r="N25" s="23"/>
      <c r="O25" s="23"/>
      <c r="P25" s="23"/>
      <c r="Q25" s="23"/>
      <c r="R25" s="23"/>
      <c r="S25" s="23"/>
      <c r="T25" s="23"/>
      <c r="U25" s="23"/>
    </row>
    <row r="26" spans="1:21" ht="13">
      <c r="A26" s="23"/>
      <c r="B26" s="791" t="s">
        <v>313</v>
      </c>
      <c r="C26" s="788">
        <f>Orbit!O98</f>
        <v>17.429200000000002</v>
      </c>
      <c r="D26" s="101" t="s">
        <v>4</v>
      </c>
      <c r="E26" s="101"/>
      <c r="F26" s="101"/>
      <c r="G26" s="101"/>
      <c r="H26" s="101"/>
      <c r="I26" s="101"/>
      <c r="J26" s="105"/>
      <c r="K26" s="23"/>
      <c r="L26" s="23"/>
      <c r="M26" s="23"/>
      <c r="N26" s="23"/>
      <c r="O26" s="23"/>
      <c r="P26" s="23"/>
      <c r="Q26" s="23"/>
      <c r="R26" s="23"/>
      <c r="S26" s="23"/>
      <c r="T26" s="23"/>
      <c r="U26" s="23"/>
    </row>
    <row r="27" spans="1:21">
      <c r="A27" s="23"/>
      <c r="B27" s="100" t="s">
        <v>314</v>
      </c>
      <c r="C27" s="31">
        <f>IF(C26&gt;0,1,0)</f>
        <v>1</v>
      </c>
      <c r="D27" s="101"/>
      <c r="E27" s="101" t="s">
        <v>715</v>
      </c>
      <c r="F27" s="101"/>
      <c r="G27" s="101" t="s">
        <v>315</v>
      </c>
      <c r="H27" s="101"/>
      <c r="I27" s="101"/>
      <c r="J27" s="105"/>
      <c r="K27" s="23"/>
      <c r="L27" s="23"/>
      <c r="M27" s="23"/>
      <c r="N27" s="23"/>
      <c r="O27" s="23"/>
      <c r="P27" s="23"/>
      <c r="Q27" s="23"/>
      <c r="R27" s="23"/>
      <c r="S27" s="23"/>
      <c r="T27" s="23"/>
      <c r="U27" s="23"/>
    </row>
    <row r="28" spans="1:21">
      <c r="A28" s="23"/>
      <c r="B28" s="100"/>
      <c r="C28" s="31">
        <f>N(NOT(C27))</f>
        <v>0</v>
      </c>
      <c r="D28" s="101"/>
      <c r="E28" s="101"/>
      <c r="F28" s="101"/>
      <c r="G28" s="101" t="s">
        <v>316</v>
      </c>
      <c r="H28" s="101"/>
      <c r="I28" s="101"/>
      <c r="J28" s="105"/>
      <c r="K28" s="23"/>
      <c r="L28" s="23"/>
      <c r="M28" s="23"/>
      <c r="N28" s="23"/>
      <c r="O28" s="23"/>
      <c r="P28" s="23"/>
      <c r="Q28" s="23"/>
      <c r="R28" s="23"/>
      <c r="S28" s="23"/>
      <c r="T28" s="23"/>
      <c r="U28" s="23"/>
    </row>
    <row r="29" spans="1:21" ht="13">
      <c r="A29" s="23"/>
      <c r="B29" s="792" t="s">
        <v>320</v>
      </c>
      <c r="C29" s="788">
        <f>Orbit!O101</f>
        <v>-11.034199999999998</v>
      </c>
      <c r="D29" s="101" t="s">
        <v>4</v>
      </c>
      <c r="E29" s="101" t="s">
        <v>715</v>
      </c>
      <c r="F29" s="101"/>
      <c r="G29" s="101" t="s">
        <v>715</v>
      </c>
      <c r="H29" s="101"/>
      <c r="I29" s="101"/>
      <c r="J29" s="105"/>
      <c r="K29" s="23"/>
      <c r="L29" s="23"/>
      <c r="M29" s="23"/>
      <c r="N29" s="23" t="s">
        <v>715</v>
      </c>
      <c r="O29" s="23"/>
      <c r="P29" s="23"/>
      <c r="Q29" s="23"/>
      <c r="R29" s="23"/>
      <c r="S29" s="23"/>
      <c r="T29" s="23"/>
      <c r="U29" s="23"/>
    </row>
    <row r="30" spans="1:21">
      <c r="A30" s="23"/>
      <c r="B30" s="100" t="s">
        <v>305</v>
      </c>
      <c r="C30" s="31">
        <f>IF(C29&gt;0,1,0)</f>
        <v>0</v>
      </c>
      <c r="D30" s="101"/>
      <c r="E30" s="101"/>
      <c r="F30" s="101"/>
      <c r="G30" s="101" t="s">
        <v>317</v>
      </c>
      <c r="H30" s="101"/>
      <c r="I30" s="101"/>
      <c r="J30" s="105"/>
      <c r="K30" s="23"/>
      <c r="L30" s="23"/>
      <c r="M30" s="23"/>
      <c r="N30" s="23"/>
      <c r="O30" s="23"/>
      <c r="P30" s="23"/>
      <c r="Q30" s="23"/>
      <c r="R30" s="23"/>
      <c r="S30" s="23"/>
      <c r="T30" s="23"/>
      <c r="U30" s="23"/>
    </row>
    <row r="31" spans="1:21">
      <c r="A31" s="23"/>
      <c r="B31" s="100"/>
      <c r="C31" s="31">
        <f>N(NOT(C30))</f>
        <v>1</v>
      </c>
      <c r="D31" s="101"/>
      <c r="E31" s="101"/>
      <c r="F31" s="101"/>
      <c r="G31" s="101" t="s">
        <v>318</v>
      </c>
      <c r="H31" s="101"/>
      <c r="I31" s="101"/>
      <c r="J31" s="105"/>
      <c r="K31" s="23"/>
      <c r="L31" s="23"/>
      <c r="M31" s="23"/>
      <c r="N31" s="23"/>
      <c r="O31" s="23"/>
      <c r="P31" s="23"/>
      <c r="Q31" s="23"/>
      <c r="R31" s="23"/>
      <c r="S31" s="23"/>
      <c r="T31" s="23"/>
      <c r="U31" s="23"/>
    </row>
    <row r="32" spans="1:21">
      <c r="A32" s="23"/>
      <c r="B32" s="100"/>
      <c r="C32" s="795" t="s">
        <v>328</v>
      </c>
      <c r="D32" s="101"/>
      <c r="E32" s="795" t="s">
        <v>326</v>
      </c>
      <c r="F32" s="101"/>
      <c r="G32" s="795" t="s">
        <v>327</v>
      </c>
      <c r="H32" s="101"/>
      <c r="I32" s="101"/>
      <c r="J32" s="105"/>
      <c r="K32" s="23"/>
      <c r="L32" s="23"/>
      <c r="M32" s="23"/>
      <c r="N32" s="23"/>
      <c r="O32" s="23"/>
      <c r="P32" s="23"/>
      <c r="Q32" s="23"/>
      <c r="R32" s="23"/>
      <c r="S32" s="23"/>
      <c r="T32" s="23"/>
      <c r="U32" s="23"/>
    </row>
    <row r="33" spans="1:21">
      <c r="A33" s="23"/>
      <c r="B33" s="793" t="s">
        <v>306</v>
      </c>
      <c r="C33" s="31">
        <f>N(AND(C28,C31))</f>
        <v>0</v>
      </c>
      <c r="D33" s="101"/>
      <c r="E33" s="794">
        <f>C33*(-C38)</f>
        <v>0</v>
      </c>
      <c r="F33" s="101" t="s">
        <v>4</v>
      </c>
      <c r="G33" s="101" t="s">
        <v>310</v>
      </c>
      <c r="H33" s="101"/>
      <c r="I33" s="101"/>
      <c r="J33" s="105"/>
      <c r="K33" s="23"/>
      <c r="L33" s="23"/>
      <c r="M33" s="23"/>
      <c r="N33" s="23"/>
      <c r="O33" s="23"/>
      <c r="P33" s="23"/>
      <c r="Q33" s="23"/>
      <c r="R33" s="23"/>
      <c r="S33" s="23"/>
      <c r="T33" s="23"/>
      <c r="U33" s="23"/>
    </row>
    <row r="34" spans="1:21">
      <c r="A34" s="23"/>
      <c r="B34" s="100" t="s">
        <v>308</v>
      </c>
      <c r="C34" s="31">
        <f>N(AND(C27,C31))</f>
        <v>1</v>
      </c>
      <c r="D34" s="101"/>
      <c r="E34" s="794">
        <f>C34*(180-C38)</f>
        <v>146.93483583660557</v>
      </c>
      <c r="F34" s="101" t="s">
        <v>4</v>
      </c>
      <c r="G34" s="101" t="s">
        <v>312</v>
      </c>
      <c r="H34" s="101"/>
      <c r="I34" s="101"/>
      <c r="J34" s="105"/>
      <c r="K34" s="23"/>
      <c r="L34" s="23"/>
      <c r="M34" s="23"/>
      <c r="N34" s="23"/>
      <c r="O34" s="23"/>
      <c r="P34" s="23"/>
      <c r="Q34" s="23"/>
      <c r="R34" s="23"/>
      <c r="S34" s="23"/>
      <c r="T34" s="23"/>
      <c r="U34" s="23"/>
    </row>
    <row r="35" spans="1:21">
      <c r="A35" s="23"/>
      <c r="B35" s="793" t="s">
        <v>309</v>
      </c>
      <c r="C35" s="31">
        <f>N(AND(C27,C30))</f>
        <v>0</v>
      </c>
      <c r="D35" s="101"/>
      <c r="E35" s="794">
        <f>C35*(180-C38)</f>
        <v>0</v>
      </c>
      <c r="F35" s="101" t="s">
        <v>4</v>
      </c>
      <c r="G35" s="101" t="s">
        <v>319</v>
      </c>
      <c r="H35" s="101"/>
      <c r="I35" s="101"/>
      <c r="J35" s="105"/>
      <c r="K35" s="23"/>
      <c r="L35" s="23"/>
      <c r="M35" s="23"/>
      <c r="N35" s="23"/>
      <c r="O35" s="23"/>
      <c r="P35" s="23"/>
      <c r="Q35" s="23"/>
      <c r="R35" s="23"/>
      <c r="S35" s="23"/>
      <c r="T35" s="23"/>
      <c r="U35" s="23"/>
    </row>
    <row r="36" spans="1:21">
      <c r="A36" s="23"/>
      <c r="B36" s="793" t="s">
        <v>307</v>
      </c>
      <c r="C36" s="31">
        <f>N(AND(C28,C30))</f>
        <v>0</v>
      </c>
      <c r="D36" s="101"/>
      <c r="E36" s="794">
        <f>C36*(360-C38)</f>
        <v>0</v>
      </c>
      <c r="F36" s="101" t="s">
        <v>4</v>
      </c>
      <c r="G36" s="101" t="s">
        <v>311</v>
      </c>
      <c r="H36" s="101"/>
      <c r="I36" s="101"/>
      <c r="J36" s="105"/>
      <c r="K36" s="23"/>
      <c r="L36" s="23"/>
      <c r="M36" s="23"/>
      <c r="N36" s="23"/>
      <c r="O36" s="23"/>
      <c r="P36" s="23"/>
      <c r="Q36" s="23"/>
      <c r="R36" s="23"/>
      <c r="S36" s="23"/>
      <c r="T36" s="23"/>
      <c r="U36" s="23"/>
    </row>
    <row r="37" spans="1:21">
      <c r="A37" s="23"/>
      <c r="B37" s="100"/>
      <c r="C37" s="101"/>
      <c r="D37" s="101"/>
      <c r="E37" s="101"/>
      <c r="F37" s="101"/>
      <c r="G37" s="101"/>
      <c r="H37" s="101"/>
      <c r="I37" s="101"/>
      <c r="J37" s="105"/>
      <c r="K37" s="23"/>
      <c r="L37" s="23"/>
      <c r="M37" s="23"/>
      <c r="N37" s="23"/>
      <c r="O37" s="23"/>
      <c r="P37" s="23"/>
      <c r="Q37" s="23"/>
      <c r="R37" s="23"/>
      <c r="S37" s="23"/>
      <c r="T37" s="23"/>
      <c r="U37" s="23"/>
    </row>
    <row r="38" spans="1:21" ht="13">
      <c r="A38" s="23"/>
      <c r="B38" s="791" t="s">
        <v>321</v>
      </c>
      <c r="C38" s="787">
        <f>Orbit!O107</f>
        <v>33.065164163394428</v>
      </c>
      <c r="D38" s="101" t="s">
        <v>4</v>
      </c>
      <c r="E38" s="101"/>
      <c r="F38" s="101"/>
      <c r="G38" s="101"/>
      <c r="H38" s="101"/>
      <c r="I38" s="101"/>
      <c r="J38" s="105"/>
      <c r="K38" s="23"/>
      <c r="L38" s="23"/>
      <c r="M38" s="23"/>
      <c r="N38" s="23"/>
      <c r="O38" s="23"/>
      <c r="P38" s="23"/>
      <c r="Q38" s="23"/>
      <c r="R38" s="23"/>
      <c r="S38" s="23"/>
      <c r="T38" s="23"/>
      <c r="U38" s="23"/>
    </row>
    <row r="39" spans="1:21">
      <c r="A39" s="23"/>
      <c r="B39" s="100"/>
      <c r="C39" s="101"/>
      <c r="D39" s="101"/>
      <c r="E39" s="101"/>
      <c r="F39" s="101"/>
      <c r="G39" s="101"/>
      <c r="H39" s="101"/>
      <c r="I39" s="101"/>
      <c r="J39" s="105"/>
      <c r="K39" s="23"/>
      <c r="L39" s="23"/>
      <c r="M39" s="23"/>
      <c r="N39" s="23"/>
      <c r="O39" s="23"/>
      <c r="P39" s="23"/>
      <c r="Q39" s="23"/>
      <c r="R39" s="23"/>
      <c r="S39" s="23"/>
      <c r="T39" s="23"/>
      <c r="U39" s="23"/>
    </row>
    <row r="40" spans="1:21" ht="13">
      <c r="A40" s="23"/>
      <c r="B40" s="791" t="s">
        <v>322</v>
      </c>
      <c r="C40" s="101"/>
      <c r="D40" s="101"/>
      <c r="E40" s="789">
        <f>SUM(E33:E36)</f>
        <v>146.93483583660557</v>
      </c>
      <c r="F40" s="410" t="s">
        <v>4</v>
      </c>
      <c r="G40" s="101"/>
      <c r="H40" s="101"/>
      <c r="I40" s="101"/>
      <c r="J40" s="105"/>
      <c r="K40" s="23"/>
      <c r="L40" s="23"/>
      <c r="M40" s="23"/>
      <c r="N40" s="23"/>
      <c r="O40" s="23"/>
      <c r="P40" s="23"/>
      <c r="Q40" s="23"/>
      <c r="R40" s="23"/>
      <c r="S40" s="23"/>
      <c r="T40" s="23"/>
      <c r="U40" s="23"/>
    </row>
    <row r="41" spans="1:21">
      <c r="A41" s="23"/>
      <c r="B41" s="100"/>
      <c r="C41" s="101"/>
      <c r="D41" s="101"/>
      <c r="E41" s="101"/>
      <c r="F41" s="101"/>
      <c r="G41" s="101"/>
      <c r="H41" s="101"/>
      <c r="I41" s="101"/>
      <c r="J41" s="105"/>
      <c r="K41" s="23"/>
      <c r="L41" s="23"/>
      <c r="M41" s="23"/>
      <c r="N41" s="23"/>
      <c r="O41" s="23"/>
      <c r="P41" s="23"/>
      <c r="Q41" s="23"/>
      <c r="R41" s="23"/>
      <c r="S41" s="23"/>
      <c r="T41" s="23"/>
      <c r="U41" s="23"/>
    </row>
    <row r="42" spans="1:21" ht="13" thickBot="1">
      <c r="A42" s="23"/>
      <c r="B42" s="111"/>
      <c r="C42" s="112"/>
      <c r="D42" s="112"/>
      <c r="E42" s="112"/>
      <c r="F42" s="112"/>
      <c r="G42" s="112"/>
      <c r="H42" s="112"/>
      <c r="I42" s="112"/>
      <c r="J42" s="113"/>
      <c r="K42" s="23"/>
      <c r="L42" s="23"/>
      <c r="M42" s="23"/>
      <c r="N42" s="23"/>
      <c r="O42" s="23"/>
      <c r="P42" s="23"/>
      <c r="Q42" s="23"/>
      <c r="R42" s="23"/>
      <c r="S42" s="23"/>
      <c r="T42" s="23"/>
      <c r="U42" s="23"/>
    </row>
    <row r="43" spans="1:21">
      <c r="A43" s="23"/>
      <c r="B43" s="23"/>
      <c r="C43" s="23"/>
      <c r="D43" s="23"/>
      <c r="E43" s="23"/>
      <c r="F43" s="23"/>
      <c r="G43" s="23"/>
      <c r="H43" s="23"/>
      <c r="I43" s="23"/>
      <c r="J43" s="23"/>
      <c r="K43" s="23"/>
      <c r="L43" s="23"/>
      <c r="M43" s="23"/>
      <c r="N43" s="23"/>
      <c r="O43" s="23"/>
      <c r="P43" s="23"/>
      <c r="Q43" s="23"/>
      <c r="R43" s="23"/>
      <c r="S43" s="23"/>
      <c r="T43" s="23"/>
      <c r="U43" s="23"/>
    </row>
    <row r="44" spans="1:21">
      <c r="A44" s="23"/>
      <c r="B44" s="23"/>
      <c r="C44" s="23"/>
      <c r="D44" s="23"/>
      <c r="E44" s="23"/>
      <c r="F44" s="23"/>
      <c r="G44" s="23"/>
      <c r="H44" s="23"/>
      <c r="I44" s="23"/>
      <c r="J44" s="23"/>
      <c r="K44" s="23"/>
      <c r="L44" s="23"/>
      <c r="M44" s="23"/>
      <c r="N44" s="23"/>
      <c r="O44" s="23"/>
      <c r="P44" s="23"/>
      <c r="Q44" s="23"/>
      <c r="R44" s="23"/>
      <c r="S44" s="23"/>
      <c r="T44" s="23"/>
      <c r="U44" s="23"/>
    </row>
    <row r="45" spans="1:21">
      <c r="A45" s="23"/>
      <c r="B45" s="23"/>
      <c r="C45" s="23"/>
      <c r="D45" s="23"/>
      <c r="E45" s="23"/>
      <c r="F45" s="23"/>
      <c r="G45" s="23"/>
      <c r="H45" s="23"/>
      <c r="I45" s="23"/>
      <c r="J45" s="23"/>
      <c r="K45" s="23"/>
      <c r="L45" s="23"/>
      <c r="M45" s="23"/>
      <c r="N45" s="23"/>
      <c r="O45" s="23"/>
      <c r="P45" s="23"/>
      <c r="Q45" s="23"/>
      <c r="R45" s="23"/>
      <c r="S45" s="23"/>
      <c r="T45" s="23"/>
      <c r="U45" s="23"/>
    </row>
    <row r="46" spans="1:21">
      <c r="A46" s="23"/>
      <c r="B46" s="23"/>
      <c r="C46" s="23"/>
      <c r="D46" s="23"/>
      <c r="E46" s="23"/>
      <c r="F46" s="23"/>
      <c r="G46" s="23"/>
      <c r="H46" s="23"/>
      <c r="I46" s="23"/>
      <c r="J46" s="23"/>
      <c r="K46" s="23"/>
      <c r="L46" s="23"/>
      <c r="M46" s="23"/>
      <c r="N46" s="23"/>
      <c r="O46" s="23"/>
      <c r="P46" s="23"/>
      <c r="Q46" s="23"/>
      <c r="R46" s="23"/>
      <c r="S46" s="23"/>
      <c r="T46" s="23"/>
      <c r="U46" s="23"/>
    </row>
    <row r="47" spans="1:21">
      <c r="A47" s="23"/>
      <c r="B47" s="23"/>
      <c r="C47" s="23"/>
      <c r="D47" s="23"/>
      <c r="E47" s="23"/>
      <c r="F47" s="23"/>
      <c r="G47" s="23"/>
      <c r="H47" s="23"/>
      <c r="I47" s="23"/>
      <c r="J47" s="23"/>
      <c r="K47" s="23"/>
      <c r="L47" s="23"/>
      <c r="M47" s="23"/>
      <c r="N47" s="23"/>
      <c r="O47" s="23"/>
      <c r="P47" s="23"/>
      <c r="Q47" s="23"/>
      <c r="R47" s="23"/>
      <c r="S47" s="23"/>
      <c r="T47" s="23"/>
      <c r="U47" s="23"/>
    </row>
    <row r="48" spans="1:21">
      <c r="A48" s="23"/>
      <c r="B48" s="23"/>
      <c r="C48" s="23"/>
      <c r="D48" s="23"/>
      <c r="E48" s="23"/>
      <c r="F48" s="23"/>
      <c r="G48" s="23"/>
      <c r="H48" s="23"/>
      <c r="I48" s="23"/>
      <c r="J48" s="23"/>
      <c r="K48" s="23"/>
      <c r="L48" s="23"/>
      <c r="M48" s="23"/>
      <c r="N48" s="23"/>
      <c r="O48" s="23"/>
      <c r="P48" s="23"/>
      <c r="Q48" s="23"/>
      <c r="R48" s="23"/>
      <c r="S48" s="23"/>
      <c r="T48" s="23"/>
      <c r="U48" s="23"/>
    </row>
    <row r="49" spans="1:21">
      <c r="A49" s="23"/>
      <c r="B49" s="23"/>
      <c r="C49" s="23"/>
      <c r="D49" s="23"/>
      <c r="E49" s="23"/>
      <c r="F49" s="23"/>
      <c r="G49" s="23"/>
      <c r="H49" s="23"/>
      <c r="I49" s="23"/>
      <c r="J49" s="23"/>
      <c r="K49" s="23"/>
      <c r="L49" s="23"/>
      <c r="M49" s="23"/>
      <c r="N49" s="23"/>
      <c r="O49" s="23"/>
      <c r="P49" s="23"/>
      <c r="Q49" s="23"/>
      <c r="R49" s="23"/>
      <c r="S49" s="23"/>
      <c r="T49" s="23"/>
      <c r="U49" s="23"/>
    </row>
    <row r="50" spans="1:21">
      <c r="A50" s="23"/>
      <c r="B50" s="23"/>
      <c r="C50" s="23"/>
      <c r="D50" s="23"/>
      <c r="E50" s="23"/>
      <c r="F50" s="23"/>
      <c r="G50" s="23"/>
      <c r="H50" s="23"/>
      <c r="I50" s="23"/>
      <c r="J50" s="23"/>
      <c r="K50" s="23"/>
      <c r="L50" s="23"/>
      <c r="M50" s="23"/>
      <c r="N50" s="23"/>
      <c r="O50" s="23"/>
      <c r="P50" s="23"/>
      <c r="Q50" s="23"/>
      <c r="R50" s="23"/>
      <c r="S50" s="23"/>
      <c r="T50" s="23"/>
      <c r="U50" s="23"/>
    </row>
    <row r="51" spans="1:21">
      <c r="A51" s="23"/>
      <c r="B51" s="23"/>
      <c r="C51" s="23"/>
      <c r="D51" s="23"/>
      <c r="E51" s="23"/>
      <c r="F51" s="23"/>
      <c r="G51" s="23"/>
      <c r="H51" s="23"/>
      <c r="I51" s="23"/>
      <c r="J51" s="23"/>
      <c r="K51" s="23"/>
      <c r="L51" s="23"/>
      <c r="M51" s="23"/>
      <c r="N51" s="23"/>
      <c r="O51" s="23"/>
      <c r="P51" s="23"/>
      <c r="Q51" s="23"/>
      <c r="R51" s="23"/>
      <c r="S51" s="23"/>
      <c r="T51" s="23"/>
      <c r="U51" s="23"/>
    </row>
    <row r="52" spans="1:21">
      <c r="A52" s="23"/>
      <c r="B52" s="23"/>
      <c r="C52" s="23"/>
      <c r="D52" s="23"/>
      <c r="E52" s="23"/>
      <c r="F52" s="23"/>
      <c r="G52" s="23"/>
      <c r="H52" s="23"/>
      <c r="I52" s="23"/>
      <c r="J52" s="23"/>
      <c r="K52" s="23"/>
      <c r="L52" s="23"/>
      <c r="M52" s="23"/>
      <c r="N52" s="23"/>
      <c r="O52" s="23"/>
      <c r="P52" s="23"/>
      <c r="Q52" s="23"/>
      <c r="R52" s="23"/>
      <c r="S52" s="23"/>
      <c r="T52" s="23"/>
      <c r="U52" s="23"/>
    </row>
    <row r="53" spans="1:21">
      <c r="A53" s="23"/>
      <c r="B53" s="23"/>
      <c r="C53" s="23"/>
      <c r="D53" s="23"/>
      <c r="E53" s="23"/>
      <c r="F53" s="23"/>
      <c r="G53" s="23"/>
      <c r="H53" s="23"/>
      <c r="I53" s="23"/>
      <c r="J53" s="23"/>
      <c r="K53" s="23"/>
      <c r="L53" s="23"/>
      <c r="M53" s="23"/>
      <c r="N53" s="23"/>
      <c r="O53" s="23"/>
      <c r="P53" s="23"/>
      <c r="Q53" s="23"/>
      <c r="R53" s="23"/>
      <c r="S53" s="23"/>
      <c r="T53" s="23"/>
      <c r="U53" s="23"/>
    </row>
    <row r="54" spans="1:21">
      <c r="A54" s="23"/>
      <c r="B54" s="23"/>
      <c r="C54" s="23"/>
      <c r="D54" s="23"/>
      <c r="E54" s="23"/>
      <c r="F54" s="23"/>
      <c r="G54" s="23"/>
      <c r="H54" s="23"/>
      <c r="I54" s="23"/>
      <c r="J54" s="23"/>
      <c r="K54" s="23"/>
      <c r="L54" s="23"/>
      <c r="M54" s="23"/>
      <c r="N54" s="23"/>
      <c r="O54" s="23"/>
      <c r="P54" s="23"/>
      <c r="Q54" s="23"/>
      <c r="R54" s="23"/>
      <c r="S54" s="23"/>
      <c r="T54" s="23"/>
      <c r="U54" s="23"/>
    </row>
    <row r="55" spans="1:21">
      <c r="A55" s="23"/>
      <c r="B55" s="23"/>
      <c r="C55" s="23"/>
      <c r="D55" s="23"/>
      <c r="E55" s="23"/>
      <c r="F55" s="23"/>
      <c r="G55" s="23"/>
      <c r="H55" s="23"/>
      <c r="I55" s="23"/>
      <c r="J55" s="23"/>
      <c r="K55" s="23"/>
      <c r="L55" s="23"/>
      <c r="M55" s="23"/>
      <c r="N55" s="23"/>
      <c r="O55" s="23"/>
      <c r="P55" s="23"/>
      <c r="Q55" s="23"/>
      <c r="R55" s="23"/>
      <c r="S55" s="23"/>
      <c r="T55" s="23"/>
      <c r="U55" s="23"/>
    </row>
  </sheetData>
  <phoneticPr fontId="26" type="noConversion"/>
  <pageMargins left="0.75" right="0.75" top="1" bottom="1" header="0.5" footer="0.5"/>
  <pageSetup paperSize="9" orientation="portrait" horizontalDpi="4294967293" verticalDpi="0"/>
  <headerFooter alignWithMargins="0"/>
  <legacyDrawing r:id="rId1"/>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1">
    <tabColor indexed="57"/>
  </sheetPr>
  <dimension ref="A1:I81"/>
  <sheetViews>
    <sheetView zoomScale="150" zoomScaleNormal="150" workbookViewId="0">
      <selection activeCell="I31" sqref="I31"/>
    </sheetView>
  </sheetViews>
  <sheetFormatPr defaultColWidth="8.81640625" defaultRowHeight="12.5"/>
  <sheetData>
    <row r="1" spans="1:9" ht="13">
      <c r="A1" t="s">
        <v>276</v>
      </c>
      <c r="B1" s="18"/>
      <c r="C1" s="18"/>
      <c r="D1" s="18"/>
    </row>
    <row r="2" spans="1:9">
      <c r="A2" s="345" t="s">
        <v>140</v>
      </c>
      <c r="B2" s="18" t="s">
        <v>734</v>
      </c>
      <c r="C2" s="18" t="s">
        <v>733</v>
      </c>
      <c r="D2" s="18" t="s">
        <v>735</v>
      </c>
      <c r="E2" s="18" t="s">
        <v>737</v>
      </c>
      <c r="F2" s="18" t="s">
        <v>736</v>
      </c>
      <c r="G2" s="18" t="s">
        <v>738</v>
      </c>
      <c r="I2" t="s">
        <v>715</v>
      </c>
    </row>
    <row r="3" spans="1:9">
      <c r="B3" s="18">
        <f>SQRT(D3-(C3)^2)</f>
        <v>3.5199431813596083</v>
      </c>
      <c r="C3" s="19">
        <v>-1.9</v>
      </c>
      <c r="D3" s="19">
        <v>16</v>
      </c>
      <c r="E3" s="18">
        <f>SQRT(G3-(F4)^2)</f>
        <v>3.5745629103430252</v>
      </c>
      <c r="F3" s="18">
        <v>-1.9</v>
      </c>
      <c r="G3" s="19">
        <v>16.2</v>
      </c>
      <c r="I3" t="s">
        <v>715</v>
      </c>
    </row>
    <row r="4" spans="1:9">
      <c r="B4" s="18">
        <f t="shared" ref="B4:B40" si="0">SQRT(D4-(C4)^2)</f>
        <v>3.5464771252610667</v>
      </c>
      <c r="C4" s="19">
        <f>C3+0.05</f>
        <v>-1.8499999999999999</v>
      </c>
      <c r="D4" s="19">
        <v>16</v>
      </c>
      <c r="E4" s="18">
        <f t="shared" ref="E4:E40" si="1">SQRT(G4-(F5)^2)</f>
        <v>3.6</v>
      </c>
      <c r="F4" s="18">
        <f>F3+0.05</f>
        <v>-1.8499999999999999</v>
      </c>
      <c r="G4" s="19">
        <v>16.2</v>
      </c>
    </row>
    <row r="5" spans="1:9">
      <c r="B5" s="18">
        <f t="shared" si="0"/>
        <v>3.5721142198983507</v>
      </c>
      <c r="C5" s="19">
        <f t="shared" ref="C5:C40" si="2">C4+0.05</f>
        <v>-1.7999999999999998</v>
      </c>
      <c r="D5" s="19">
        <v>16</v>
      </c>
      <c r="E5" s="18">
        <f t="shared" si="1"/>
        <v>3.6245689398878866</v>
      </c>
      <c r="F5" s="19">
        <f t="shared" ref="F5:F40" si="3">F4+0.05</f>
        <v>-1.7999999999999998</v>
      </c>
      <c r="G5" s="19">
        <v>16.2</v>
      </c>
    </row>
    <row r="6" spans="1:9">
      <c r="B6" s="18">
        <f t="shared" si="0"/>
        <v>3.5968736424845398</v>
      </c>
      <c r="C6" s="19">
        <f t="shared" si="2"/>
        <v>-1.7499999999999998</v>
      </c>
      <c r="D6" s="19">
        <v>16</v>
      </c>
      <c r="E6" s="18">
        <f t="shared" si="1"/>
        <v>3.6482872693909401</v>
      </c>
      <c r="F6" s="19">
        <f t="shared" si="3"/>
        <v>-1.7499999999999998</v>
      </c>
      <c r="G6" s="19">
        <v>16.2</v>
      </c>
    </row>
    <row r="7" spans="1:9">
      <c r="B7" s="18">
        <f t="shared" si="0"/>
        <v>3.6207733980463348</v>
      </c>
      <c r="C7" s="19">
        <f t="shared" si="2"/>
        <v>-1.6999999999999997</v>
      </c>
      <c r="D7" s="19">
        <v>16</v>
      </c>
      <c r="E7" s="18">
        <f t="shared" si="1"/>
        <v>3.6711714751561253</v>
      </c>
      <c r="F7" s="19">
        <f t="shared" si="3"/>
        <v>-1.6999999999999997</v>
      </c>
      <c r="G7" s="19">
        <v>16.2</v>
      </c>
    </row>
    <row r="8" spans="1:9">
      <c r="B8" s="18">
        <f t="shared" si="0"/>
        <v>3.6438304022004102</v>
      </c>
      <c r="C8" s="19">
        <f t="shared" si="2"/>
        <v>-1.6499999999999997</v>
      </c>
      <c r="D8" s="19">
        <v>16</v>
      </c>
      <c r="E8" s="18">
        <f t="shared" si="1"/>
        <v>3.6932370625238775</v>
      </c>
      <c r="F8" s="19">
        <f t="shared" si="3"/>
        <v>-1.6499999999999997</v>
      </c>
      <c r="G8" s="19">
        <v>16.2</v>
      </c>
    </row>
    <row r="9" spans="1:9">
      <c r="B9" s="18">
        <f t="shared" si="0"/>
        <v>3.6660605559646724</v>
      </c>
      <c r="C9" s="19">
        <f t="shared" si="2"/>
        <v>-1.5999999999999996</v>
      </c>
      <c r="D9" s="19">
        <v>16</v>
      </c>
      <c r="E9" s="18">
        <f t="shared" si="1"/>
        <v>3.7144986202716512</v>
      </c>
      <c r="F9" s="19">
        <f t="shared" si="3"/>
        <v>-1.5999999999999996</v>
      </c>
      <c r="G9" s="19">
        <v>16.2</v>
      </c>
    </row>
    <row r="10" spans="1:9">
      <c r="B10" s="18">
        <f t="shared" si="0"/>
        <v>3.6874788134984584</v>
      </c>
      <c r="C10" s="19">
        <f t="shared" si="2"/>
        <v>-1.5499999999999996</v>
      </c>
      <c r="D10" s="19">
        <v>16</v>
      </c>
      <c r="E10" s="18">
        <f t="shared" si="1"/>
        <v>3.73496987939662</v>
      </c>
      <c r="F10" s="19">
        <f t="shared" si="3"/>
        <v>-1.5499999999999996</v>
      </c>
      <c r="G10" s="19">
        <v>16.2</v>
      </c>
    </row>
    <row r="11" spans="1:9">
      <c r="B11" s="18">
        <f t="shared" si="0"/>
        <v>3.7080992435478319</v>
      </c>
      <c r="C11" s="19">
        <f t="shared" si="2"/>
        <v>-1.4999999999999996</v>
      </c>
      <c r="D11" s="19">
        <v>16</v>
      </c>
      <c r="E11" s="18">
        <f t="shared" si="1"/>
        <v>3.7546637665708498</v>
      </c>
      <c r="F11" s="19">
        <f t="shared" si="3"/>
        <v>-1.4999999999999996</v>
      </c>
      <c r="G11" s="19">
        <v>16.2</v>
      </c>
    </row>
    <row r="12" spans="1:9">
      <c r="B12" s="18">
        <f t="shared" si="0"/>
        <v>3.7279350852717381</v>
      </c>
      <c r="C12" s="19">
        <f t="shared" si="2"/>
        <v>-1.4499999999999995</v>
      </c>
      <c r="D12" s="19">
        <v>16</v>
      </c>
      <c r="E12" s="18">
        <f t="shared" si="1"/>
        <v>3.7735924528226414</v>
      </c>
      <c r="F12" s="19">
        <f t="shared" si="3"/>
        <v>-1.4499999999999995</v>
      </c>
      <c r="G12" s="19">
        <v>16.2</v>
      </c>
    </row>
    <row r="13" spans="1:9">
      <c r="B13" s="18">
        <f t="shared" si="0"/>
        <v>3.746998799039039</v>
      </c>
      <c r="C13" s="19">
        <f t="shared" si="2"/>
        <v>-1.3999999999999995</v>
      </c>
      <c r="D13" s="19">
        <v>16</v>
      </c>
      <c r="E13" s="18">
        <f t="shared" si="1"/>
        <v>3.7917673979293616</v>
      </c>
      <c r="F13" s="19">
        <f t="shared" si="3"/>
        <v>-1.3999999999999995</v>
      </c>
      <c r="G13" s="19">
        <v>16.2</v>
      </c>
    </row>
    <row r="14" spans="1:9">
      <c r="B14" s="18">
        <f t="shared" si="0"/>
        <v>3.7653021127128699</v>
      </c>
      <c r="C14" s="19">
        <f t="shared" si="2"/>
        <v>-1.3499999999999994</v>
      </c>
      <c r="D14" s="19">
        <v>16</v>
      </c>
      <c r="E14" s="18">
        <f t="shared" si="1"/>
        <v>3.8091993909481823</v>
      </c>
      <c r="F14" s="19">
        <f t="shared" si="3"/>
        <v>-1.3499999999999994</v>
      </c>
      <c r="G14" s="19">
        <v>16.2</v>
      </c>
    </row>
    <row r="15" spans="1:9">
      <c r="B15" s="18">
        <f t="shared" si="0"/>
        <v>3.7828560638755477</v>
      </c>
      <c r="C15" s="19">
        <f t="shared" si="2"/>
        <v>-1.2999999999999994</v>
      </c>
      <c r="D15" s="19">
        <v>16</v>
      </c>
      <c r="E15" s="18">
        <f t="shared" si="1"/>
        <v>3.8258985872602533</v>
      </c>
      <c r="F15" s="19">
        <f t="shared" si="3"/>
        <v>-1.2999999999999994</v>
      </c>
      <c r="G15" s="19">
        <v>16.2</v>
      </c>
    </row>
    <row r="16" spans="1:9">
      <c r="B16" s="18">
        <f t="shared" si="0"/>
        <v>3.799671038392666</v>
      </c>
      <c r="C16" s="19">
        <f t="shared" si="2"/>
        <v>-1.2499999999999993</v>
      </c>
      <c r="D16" s="19">
        <v>16</v>
      </c>
      <c r="E16" s="18">
        <f t="shared" si="1"/>
        <v>3.8418745424597094</v>
      </c>
      <c r="F16" s="19">
        <f t="shared" si="3"/>
        <v>-1.2499999999999993</v>
      </c>
      <c r="G16" s="19">
        <v>16.2</v>
      </c>
    </row>
    <row r="17" spans="2:7">
      <c r="B17" s="18">
        <f t="shared" si="0"/>
        <v>3.8157568056677831</v>
      </c>
      <c r="C17" s="19">
        <f t="shared" si="2"/>
        <v>-1.1999999999999993</v>
      </c>
      <c r="D17" s="19">
        <v>16</v>
      </c>
      <c r="E17" s="18">
        <f t="shared" si="1"/>
        <v>3.8571362433805731</v>
      </c>
      <c r="F17" s="19">
        <f t="shared" si="3"/>
        <v>-1.1999999999999993</v>
      </c>
      <c r="G17" s="19">
        <v>16.2</v>
      </c>
    </row>
    <row r="18" spans="2:7">
      <c r="B18" s="18">
        <f t="shared" si="0"/>
        <v>3.8311225508981051</v>
      </c>
      <c r="C18" s="19">
        <f t="shared" si="2"/>
        <v>-1.1499999999999992</v>
      </c>
      <c r="D18" s="19">
        <v>16</v>
      </c>
      <c r="E18" s="18">
        <f t="shared" si="1"/>
        <v>3.871692136521188</v>
      </c>
      <c r="F18" s="19">
        <f t="shared" si="3"/>
        <v>-1.1499999999999992</v>
      </c>
      <c r="G18" s="19">
        <v>16.2</v>
      </c>
    </row>
    <row r="19" spans="2:7">
      <c r="B19" s="18">
        <f t="shared" si="0"/>
        <v>3.8457769046058825</v>
      </c>
      <c r="C19" s="19">
        <f t="shared" si="2"/>
        <v>-1.0999999999999992</v>
      </c>
      <c r="D19" s="19">
        <v>16</v>
      </c>
      <c r="E19" s="18">
        <f t="shared" si="1"/>
        <v>3.8855501540965856</v>
      </c>
      <c r="F19" s="19">
        <f t="shared" si="3"/>
        <v>-1.0999999999999992</v>
      </c>
      <c r="G19" s="19">
        <v>16.2</v>
      </c>
    </row>
    <row r="20" spans="2:7">
      <c r="B20" s="18">
        <f t="shared" si="0"/>
        <v>3.8597279696890556</v>
      </c>
      <c r="C20" s="19">
        <f t="shared" si="2"/>
        <v>-1.0499999999999992</v>
      </c>
      <c r="D20" s="19">
        <v>16</v>
      </c>
      <c r="E20" s="18">
        <f t="shared" si="1"/>
        <v>3.8987177379235858</v>
      </c>
      <c r="F20" s="19">
        <f t="shared" si="3"/>
        <v>-1.0499999999999992</v>
      </c>
      <c r="G20" s="19">
        <v>16.2</v>
      </c>
    </row>
    <row r="21" spans="2:7">
      <c r="B21" s="18">
        <f t="shared" si="0"/>
        <v>3.872983346207417</v>
      </c>
      <c r="C21" s="19">
        <f t="shared" si="2"/>
        <v>-0.99999999999999911</v>
      </c>
      <c r="D21" s="19">
        <v>16</v>
      </c>
      <c r="E21" s="18">
        <f t="shared" si="1"/>
        <v>3.9112018613208908</v>
      </c>
      <c r="F21" s="19">
        <f t="shared" si="3"/>
        <v>-0.99999999999999911</v>
      </c>
      <c r="G21" s="19">
        <v>16.2</v>
      </c>
    </row>
    <row r="22" spans="2:7">
      <c r="B22" s="18">
        <f t="shared" si="0"/>
        <v>3.885550154096586</v>
      </c>
      <c r="C22" s="19">
        <f t="shared" si="2"/>
        <v>-0.94999999999999907</v>
      </c>
      <c r="D22" s="19">
        <v>16</v>
      </c>
      <c r="E22" s="18">
        <f t="shared" si="1"/>
        <v>3.9230090491866063</v>
      </c>
      <c r="F22" s="19">
        <f t="shared" si="3"/>
        <v>-0.94999999999999907</v>
      </c>
      <c r="G22" s="19">
        <v>16.2</v>
      </c>
    </row>
    <row r="23" spans="2:7">
      <c r="B23" s="18">
        <f t="shared" si="0"/>
        <v>3.8974350539810154</v>
      </c>
      <c r="C23" s="19">
        <f t="shared" si="2"/>
        <v>-0.89999999999999902</v>
      </c>
      <c r="D23" s="19">
        <v>16</v>
      </c>
      <c r="E23" s="18">
        <f t="shared" si="1"/>
        <v>3.9341453963980539</v>
      </c>
      <c r="F23" s="19">
        <f t="shared" si="3"/>
        <v>-0.89999999999999902</v>
      </c>
      <c r="G23" s="19">
        <v>16.2</v>
      </c>
    </row>
    <row r="24" spans="2:7">
      <c r="B24" s="18">
        <f t="shared" si="0"/>
        <v>3.9086442662386149</v>
      </c>
      <c r="C24" s="19">
        <f t="shared" si="2"/>
        <v>-0.84999999999999898</v>
      </c>
      <c r="D24" s="19">
        <v>16</v>
      </c>
      <c r="E24" s="18">
        <f t="shared" si="1"/>
        <v>3.944616584663204</v>
      </c>
      <c r="F24" s="19">
        <f t="shared" si="3"/>
        <v>-0.84999999999999898</v>
      </c>
      <c r="G24" s="19">
        <v>16.2</v>
      </c>
    </row>
    <row r="25" spans="2:7">
      <c r="B25" s="18">
        <f t="shared" si="0"/>
        <v>3.9191835884530852</v>
      </c>
      <c r="C25" s="19">
        <f t="shared" si="2"/>
        <v>-0.79999999999999893</v>
      </c>
      <c r="D25" s="19">
        <v>16</v>
      </c>
      <c r="E25" s="18">
        <f t="shared" si="1"/>
        <v>3.9544278979392202</v>
      </c>
      <c r="F25" s="19">
        <f t="shared" si="3"/>
        <v>-0.79999999999999893</v>
      </c>
      <c r="G25" s="19">
        <v>16.2</v>
      </c>
    </row>
    <row r="26" spans="2:7">
      <c r="B26" s="18">
        <f t="shared" si="0"/>
        <v>3.9290584113754279</v>
      </c>
      <c r="C26" s="19">
        <f t="shared" si="2"/>
        <v>-0.74999999999999889</v>
      </c>
      <c r="D26" s="19">
        <v>16</v>
      </c>
      <c r="E26" s="18">
        <f t="shared" si="1"/>
        <v>3.963584236521283</v>
      </c>
      <c r="F26" s="19">
        <f t="shared" si="3"/>
        <v>-0.74999999999999889</v>
      </c>
      <c r="G26" s="19">
        <v>16.2</v>
      </c>
    </row>
    <row r="27" spans="2:7">
      <c r="B27" s="18">
        <f t="shared" si="0"/>
        <v>3.9382737335030433</v>
      </c>
      <c r="C27" s="19">
        <f t="shared" si="2"/>
        <v>-0.69999999999999885</v>
      </c>
      <c r="D27" s="19">
        <v>16</v>
      </c>
      <c r="E27" s="18">
        <f t="shared" si="1"/>
        <v>3.9720901298938323</v>
      </c>
      <c r="F27" s="19">
        <f t="shared" si="3"/>
        <v>-0.69999999999999885</v>
      </c>
      <c r="G27" s="19">
        <v>16.2</v>
      </c>
    </row>
    <row r="28" spans="2:7">
      <c r="B28" s="18">
        <f t="shared" si="0"/>
        <v>3.9468341743731776</v>
      </c>
      <c r="C28" s="19">
        <f t="shared" si="2"/>
        <v>-0.6499999999999988</v>
      </c>
      <c r="D28" s="19">
        <v>16</v>
      </c>
      <c r="E28" s="20">
        <f t="shared" si="1"/>
        <v>3.9799497484264799</v>
      </c>
      <c r="F28" s="19">
        <f t="shared" si="3"/>
        <v>-0.6499999999999988</v>
      </c>
      <c r="G28" s="19">
        <v>16.2</v>
      </c>
    </row>
    <row r="29" spans="2:7">
      <c r="B29" s="18">
        <f t="shared" si="0"/>
        <v>3.954743986657038</v>
      </c>
      <c r="C29" s="19">
        <f t="shared" si="2"/>
        <v>-0.59999999999999876</v>
      </c>
      <c r="D29" s="19">
        <v>16</v>
      </c>
      <c r="E29" s="18">
        <f t="shared" si="1"/>
        <v>3.987166913987926</v>
      </c>
      <c r="F29" s="19">
        <f t="shared" si="3"/>
        <v>-0.59999999999999876</v>
      </c>
      <c r="G29" s="19">
        <v>16.2</v>
      </c>
    </row>
    <row r="30" spans="2:7">
      <c r="B30" s="18">
        <f t="shared" si="0"/>
        <v>3.9620070671315064</v>
      </c>
      <c r="C30" s="19">
        <f t="shared" si="2"/>
        <v>-0.54999999999999871</v>
      </c>
      <c r="D30" s="19">
        <v>16</v>
      </c>
      <c r="E30" s="18">
        <f t="shared" si="1"/>
        <v>3.993745109543172</v>
      </c>
      <c r="F30" s="19">
        <f t="shared" si="3"/>
        <v>-0.54999999999999871</v>
      </c>
      <c r="G30" s="19">
        <v>16.2</v>
      </c>
    </row>
    <row r="31" spans="2:7">
      <c r="B31" s="18">
        <f t="shared" si="0"/>
        <v>3.9686269665968861</v>
      </c>
      <c r="C31" s="19">
        <f t="shared" si="2"/>
        <v>-0.49999999999999872</v>
      </c>
      <c r="D31" s="19">
        <v>16</v>
      </c>
      <c r="E31" s="18">
        <f t="shared" si="1"/>
        <v>3.999687487792015</v>
      </c>
      <c r="F31" s="19">
        <f t="shared" si="3"/>
        <v>-0.49999999999999872</v>
      </c>
      <c r="G31" s="19">
        <v>16.2</v>
      </c>
    </row>
    <row r="32" spans="2:7">
      <c r="B32" s="18">
        <f t="shared" si="0"/>
        <v>3.97460689880144</v>
      </c>
      <c r="C32" s="19">
        <f t="shared" si="2"/>
        <v>-0.44999999999999873</v>
      </c>
      <c r="D32" s="19">
        <v>16</v>
      </c>
      <c r="E32" s="18">
        <f t="shared" si="1"/>
        <v>4.0049968789001573</v>
      </c>
      <c r="F32" s="19">
        <f t="shared" si="3"/>
        <v>-0.44999999999999873</v>
      </c>
      <c r="G32" s="19">
        <v>16.2</v>
      </c>
    </row>
    <row r="33" spans="2:9">
      <c r="B33" s="18">
        <f t="shared" si="0"/>
        <v>3.9799497484264799</v>
      </c>
      <c r="C33" s="19">
        <f t="shared" si="2"/>
        <v>-0.39999999999999875</v>
      </c>
      <c r="D33" s="19">
        <v>16</v>
      </c>
      <c r="E33" s="18">
        <f t="shared" si="1"/>
        <v>4.0096757973681614</v>
      </c>
      <c r="F33" s="19">
        <f t="shared" si="3"/>
        <v>-0.39999999999999875</v>
      </c>
      <c r="G33" s="19">
        <v>16.2</v>
      </c>
    </row>
    <row r="34" spans="2:9">
      <c r="B34" s="18">
        <f t="shared" si="0"/>
        <v>3.9846580781793564</v>
      </c>
      <c r="C34" s="19">
        <f t="shared" si="2"/>
        <v>-0.34999999999999876</v>
      </c>
      <c r="D34" s="19">
        <v>16</v>
      </c>
      <c r="E34" s="18">
        <f t="shared" si="1"/>
        <v>4.0137264480778958</v>
      </c>
      <c r="F34" s="19">
        <f t="shared" si="3"/>
        <v>-0.34999999999999876</v>
      </c>
      <c r="G34" s="19">
        <v>16.2</v>
      </c>
    </row>
    <row r="35" spans="2:9">
      <c r="B35" s="18">
        <f t="shared" si="0"/>
        <v>3.9887341350358261</v>
      </c>
      <c r="C35" s="19">
        <f t="shared" si="2"/>
        <v>-0.29999999999999877</v>
      </c>
      <c r="D35" s="19">
        <v>16</v>
      </c>
      <c r="E35" s="18">
        <f t="shared" si="1"/>
        <v>4.0171507315509087</v>
      </c>
      <c r="F35" s="19">
        <f t="shared" si="3"/>
        <v>-0.29999999999999877</v>
      </c>
      <c r="G35" s="19">
        <v>16.2</v>
      </c>
    </row>
    <row r="36" spans="2:9">
      <c r="B36" s="18">
        <f t="shared" si="0"/>
        <v>3.9921798556678278</v>
      </c>
      <c r="C36" s="19">
        <f t="shared" si="2"/>
        <v>-0.24999999999999878</v>
      </c>
      <c r="D36" s="19">
        <v>16</v>
      </c>
      <c r="E36" s="18">
        <f t="shared" si="1"/>
        <v>4.0199502484483558</v>
      </c>
      <c r="F36" s="19">
        <f t="shared" si="3"/>
        <v>-0.24999999999999878</v>
      </c>
      <c r="G36" s="19">
        <v>16.2</v>
      </c>
    </row>
    <row r="37" spans="2:9">
      <c r="B37" s="18">
        <f t="shared" si="0"/>
        <v>3.9949968710876358</v>
      </c>
      <c r="C37" s="19">
        <f t="shared" si="2"/>
        <v>-0.19999999999999879</v>
      </c>
      <c r="D37" s="19">
        <v>16</v>
      </c>
      <c r="E37" s="18">
        <f t="shared" si="1"/>
        <v>4.0221263033375765</v>
      </c>
      <c r="F37" s="19">
        <f t="shared" si="3"/>
        <v>-0.19999999999999879</v>
      </c>
      <c r="G37" s="19">
        <v>16.2</v>
      </c>
    </row>
    <row r="38" spans="2:9">
      <c r="B38" s="18">
        <f t="shared" si="0"/>
        <v>3.9971865105346285</v>
      </c>
      <c r="C38" s="19">
        <f t="shared" si="2"/>
        <v>-0.1499999999999988</v>
      </c>
      <c r="D38" s="19">
        <v>16</v>
      </c>
      <c r="E38" s="18">
        <f t="shared" si="1"/>
        <v>4.0236799077461418</v>
      </c>
      <c r="F38" s="19">
        <f t="shared" si="3"/>
        <v>-0.1499999999999988</v>
      </c>
      <c r="G38" s="19">
        <v>16.2</v>
      </c>
    </row>
    <row r="39" spans="2:9">
      <c r="B39" s="18">
        <f t="shared" si="0"/>
        <v>3.9987498046264411</v>
      </c>
      <c r="C39" s="19">
        <f t="shared" si="2"/>
        <v>-9.9999999999998798E-2</v>
      </c>
      <c r="D39" s="19">
        <v>16</v>
      </c>
      <c r="E39" s="18">
        <f t="shared" si="1"/>
        <v>4.0246117825201475</v>
      </c>
      <c r="F39" s="19">
        <f t="shared" si="3"/>
        <v>-9.9999999999998798E-2</v>
      </c>
      <c r="G39" s="19">
        <v>16.2</v>
      </c>
    </row>
    <row r="40" spans="2:9">
      <c r="B40" s="18">
        <f t="shared" si="0"/>
        <v>3.999687487792015</v>
      </c>
      <c r="C40" s="19">
        <f t="shared" si="2"/>
        <v>-4.9999999999998795E-2</v>
      </c>
      <c r="D40" s="19">
        <v>16</v>
      </c>
      <c r="E40" s="18">
        <f t="shared" si="1"/>
        <v>4.0249223594996213</v>
      </c>
      <c r="F40" s="19">
        <f t="shared" si="3"/>
        <v>-4.9999999999998795E-2</v>
      </c>
      <c r="G40" s="19">
        <v>16.2</v>
      </c>
    </row>
    <row r="41" spans="2:9">
      <c r="B41" s="21">
        <v>4</v>
      </c>
      <c r="C41" s="22">
        <v>0</v>
      </c>
      <c r="D41" s="22">
        <v>16</v>
      </c>
      <c r="E41" s="23">
        <f>SQRT(G41-(F41)^2)</f>
        <v>4.0249223594996213</v>
      </c>
      <c r="F41" s="23">
        <v>0</v>
      </c>
      <c r="G41" s="19">
        <v>16.2</v>
      </c>
      <c r="I41" t="s">
        <v>715</v>
      </c>
    </row>
    <row r="42" spans="2:9">
      <c r="B42">
        <f>SQRT(D42-(C42)^2)</f>
        <v>3.999687487792015</v>
      </c>
      <c r="C42">
        <v>0.05</v>
      </c>
      <c r="D42">
        <v>16</v>
      </c>
      <c r="E42">
        <f t="shared" ref="E42:E79" si="4">SQRT(G42-(F42)^2)</f>
        <v>4.0246117825201475</v>
      </c>
      <c r="F42">
        <v>0.05</v>
      </c>
      <c r="G42" s="19">
        <v>16.2</v>
      </c>
    </row>
    <row r="43" spans="2:9">
      <c r="B43">
        <f t="shared" ref="B43:B79" si="5">SQRT(D43-(C43)^2)</f>
        <v>3.9987498046264411</v>
      </c>
      <c r="C43">
        <f>C42+0.05</f>
        <v>0.1</v>
      </c>
      <c r="D43">
        <v>16</v>
      </c>
      <c r="E43">
        <f t="shared" si="4"/>
        <v>4.0236799077461418</v>
      </c>
      <c r="F43">
        <f>F42+0.05</f>
        <v>0.1</v>
      </c>
      <c r="G43" s="19">
        <v>16.2</v>
      </c>
    </row>
    <row r="44" spans="2:9">
      <c r="B44">
        <f t="shared" si="5"/>
        <v>3.9971865105346285</v>
      </c>
      <c r="C44">
        <f t="shared" ref="C44:C79" si="6">C43+0.05</f>
        <v>0.15000000000000002</v>
      </c>
      <c r="D44">
        <v>16</v>
      </c>
      <c r="E44">
        <f t="shared" si="4"/>
        <v>4.0221263033375765</v>
      </c>
      <c r="F44">
        <f t="shared" ref="F44:F79" si="7">F43+0.05</f>
        <v>0.15000000000000002</v>
      </c>
      <c r="G44" s="19">
        <v>16.2</v>
      </c>
    </row>
    <row r="45" spans="2:9">
      <c r="B45">
        <f t="shared" si="5"/>
        <v>3.9949968710876358</v>
      </c>
      <c r="C45">
        <f t="shared" si="6"/>
        <v>0.2</v>
      </c>
      <c r="D45">
        <v>16</v>
      </c>
      <c r="E45">
        <f t="shared" si="4"/>
        <v>4.0199502484483558</v>
      </c>
      <c r="F45">
        <f t="shared" si="7"/>
        <v>0.2</v>
      </c>
      <c r="G45" s="19">
        <v>16.2</v>
      </c>
    </row>
    <row r="46" spans="2:9">
      <c r="B46">
        <f t="shared" si="5"/>
        <v>3.9921798556678278</v>
      </c>
      <c r="C46">
        <f t="shared" si="6"/>
        <v>0.25</v>
      </c>
      <c r="D46">
        <v>16</v>
      </c>
      <c r="E46">
        <f t="shared" si="4"/>
        <v>4.0171507315509087</v>
      </c>
      <c r="F46">
        <f t="shared" si="7"/>
        <v>0.25</v>
      </c>
      <c r="G46" s="19">
        <v>16.2</v>
      </c>
    </row>
    <row r="47" spans="2:9">
      <c r="B47">
        <f t="shared" si="5"/>
        <v>3.9887341350358261</v>
      </c>
      <c r="C47">
        <f t="shared" si="6"/>
        <v>0.3</v>
      </c>
      <c r="D47">
        <v>16</v>
      </c>
      <c r="E47">
        <f t="shared" si="4"/>
        <v>4.0137264480778958</v>
      </c>
      <c r="F47">
        <f t="shared" si="7"/>
        <v>0.3</v>
      </c>
      <c r="G47" s="19">
        <v>16.2</v>
      </c>
    </row>
    <row r="48" spans="2:9">
      <c r="B48">
        <f t="shared" si="5"/>
        <v>3.9846580781793559</v>
      </c>
      <c r="C48">
        <f t="shared" si="6"/>
        <v>0.35</v>
      </c>
      <c r="D48">
        <v>16</v>
      </c>
      <c r="E48">
        <f t="shared" si="4"/>
        <v>4.0096757973681614</v>
      </c>
      <c r="F48">
        <f t="shared" si="7"/>
        <v>0.35</v>
      </c>
      <c r="G48" s="19">
        <v>16.2</v>
      </c>
    </row>
    <row r="49" spans="2:7">
      <c r="B49">
        <f t="shared" si="5"/>
        <v>3.9799497484264799</v>
      </c>
      <c r="C49">
        <f t="shared" si="6"/>
        <v>0.39999999999999997</v>
      </c>
      <c r="D49">
        <v>16</v>
      </c>
      <c r="E49">
        <f t="shared" si="4"/>
        <v>4.0049968789001573</v>
      </c>
      <c r="F49">
        <f t="shared" si="7"/>
        <v>0.39999999999999997</v>
      </c>
      <c r="G49" s="19">
        <v>16.2</v>
      </c>
    </row>
    <row r="50" spans="2:7">
      <c r="B50">
        <f t="shared" si="5"/>
        <v>3.97460689880144</v>
      </c>
      <c r="C50">
        <f t="shared" si="6"/>
        <v>0.44999999999999996</v>
      </c>
      <c r="D50">
        <v>16</v>
      </c>
      <c r="E50">
        <f t="shared" si="4"/>
        <v>3.999687487792015</v>
      </c>
      <c r="F50">
        <f t="shared" si="7"/>
        <v>0.44999999999999996</v>
      </c>
      <c r="G50" s="19">
        <v>16.2</v>
      </c>
    </row>
    <row r="51" spans="2:7">
      <c r="B51">
        <f t="shared" si="5"/>
        <v>3.9686269665968861</v>
      </c>
      <c r="C51">
        <f t="shared" si="6"/>
        <v>0.49999999999999994</v>
      </c>
      <c r="D51">
        <v>16</v>
      </c>
      <c r="E51">
        <f t="shared" si="4"/>
        <v>3.9937451095431715</v>
      </c>
      <c r="F51">
        <f t="shared" si="7"/>
        <v>0.49999999999999994</v>
      </c>
      <c r="G51" s="19">
        <v>16.2</v>
      </c>
    </row>
    <row r="52" spans="2:7">
      <c r="B52">
        <f t="shared" si="5"/>
        <v>3.9620070671315064</v>
      </c>
      <c r="C52">
        <f t="shared" si="6"/>
        <v>0.54999999999999993</v>
      </c>
      <c r="D52">
        <v>16</v>
      </c>
      <c r="E52">
        <f t="shared" si="4"/>
        <v>3.9871669139879256</v>
      </c>
      <c r="F52">
        <f t="shared" si="7"/>
        <v>0.54999999999999993</v>
      </c>
      <c r="G52" s="19">
        <v>16.2</v>
      </c>
    </row>
    <row r="53" spans="2:7">
      <c r="B53">
        <f t="shared" si="5"/>
        <v>3.954743986657038</v>
      </c>
      <c r="C53">
        <f t="shared" si="6"/>
        <v>0.6</v>
      </c>
      <c r="D53">
        <v>16</v>
      </c>
      <c r="E53">
        <f t="shared" si="4"/>
        <v>3.9799497484264799</v>
      </c>
      <c r="F53">
        <f t="shared" si="7"/>
        <v>0.6</v>
      </c>
      <c r="G53" s="19">
        <v>16.2</v>
      </c>
    </row>
    <row r="54" spans="2:7">
      <c r="B54">
        <f t="shared" si="5"/>
        <v>3.9468341743731772</v>
      </c>
      <c r="C54">
        <f t="shared" si="6"/>
        <v>0.65</v>
      </c>
      <c r="D54">
        <v>16</v>
      </c>
      <c r="E54">
        <f t="shared" si="4"/>
        <v>3.9720901298938323</v>
      </c>
      <c r="F54">
        <f t="shared" si="7"/>
        <v>0.65</v>
      </c>
      <c r="G54" s="19">
        <v>16.2</v>
      </c>
    </row>
    <row r="55" spans="2:7">
      <c r="B55">
        <f t="shared" si="5"/>
        <v>3.9382737335030433</v>
      </c>
      <c r="C55">
        <f t="shared" si="6"/>
        <v>0.70000000000000007</v>
      </c>
      <c r="D55">
        <v>16</v>
      </c>
      <c r="E55">
        <f t="shared" si="4"/>
        <v>3.9635842365212826</v>
      </c>
      <c r="F55">
        <f t="shared" si="7"/>
        <v>0.70000000000000007</v>
      </c>
      <c r="G55" s="19">
        <v>16.2</v>
      </c>
    </row>
    <row r="56" spans="2:7">
      <c r="B56">
        <f t="shared" si="5"/>
        <v>3.9290584113754279</v>
      </c>
      <c r="C56">
        <f t="shared" si="6"/>
        <v>0.75000000000000011</v>
      </c>
      <c r="D56">
        <v>16</v>
      </c>
      <c r="E56">
        <f t="shared" si="4"/>
        <v>3.9544278979392202</v>
      </c>
      <c r="F56">
        <f t="shared" si="7"/>
        <v>0.75000000000000011</v>
      </c>
      <c r="G56" s="19">
        <v>16.2</v>
      </c>
    </row>
    <row r="57" spans="2:7">
      <c r="B57">
        <f t="shared" si="5"/>
        <v>3.9191835884530848</v>
      </c>
      <c r="C57">
        <f t="shared" si="6"/>
        <v>0.80000000000000016</v>
      </c>
      <c r="D57">
        <v>16</v>
      </c>
      <c r="E57">
        <f t="shared" si="4"/>
        <v>3.944616584663204</v>
      </c>
      <c r="F57">
        <f t="shared" si="7"/>
        <v>0.80000000000000016</v>
      </c>
      <c r="G57" s="19">
        <v>16.2</v>
      </c>
    </row>
    <row r="58" spans="2:7">
      <c r="B58">
        <f t="shared" si="5"/>
        <v>3.9086442662386149</v>
      </c>
      <c r="C58">
        <f t="shared" si="6"/>
        <v>0.8500000000000002</v>
      </c>
      <c r="D58">
        <v>16</v>
      </c>
      <c r="E58">
        <f t="shared" si="4"/>
        <v>3.9341453963980535</v>
      </c>
      <c r="F58">
        <f t="shared" si="7"/>
        <v>0.8500000000000002</v>
      </c>
      <c r="G58" s="19">
        <v>16.2</v>
      </c>
    </row>
    <row r="59" spans="2:7">
      <c r="B59">
        <f t="shared" si="5"/>
        <v>3.8974350539810154</v>
      </c>
      <c r="C59">
        <f t="shared" si="6"/>
        <v>0.90000000000000024</v>
      </c>
      <c r="D59">
        <v>16</v>
      </c>
      <c r="E59">
        <f t="shared" si="4"/>
        <v>3.9230090491866059</v>
      </c>
      <c r="F59">
        <f t="shared" si="7"/>
        <v>0.90000000000000024</v>
      </c>
      <c r="G59" s="19">
        <v>16.2</v>
      </c>
    </row>
    <row r="60" spans="2:7">
      <c r="B60">
        <f t="shared" si="5"/>
        <v>3.8855501540965856</v>
      </c>
      <c r="C60">
        <f t="shared" si="6"/>
        <v>0.95000000000000029</v>
      </c>
      <c r="D60">
        <v>16</v>
      </c>
      <c r="E60">
        <f t="shared" si="4"/>
        <v>3.9112018613208908</v>
      </c>
      <c r="F60">
        <f t="shared" si="7"/>
        <v>0.95000000000000029</v>
      </c>
      <c r="G60" s="19">
        <v>16.2</v>
      </c>
    </row>
    <row r="61" spans="2:7">
      <c r="B61">
        <f t="shared" si="5"/>
        <v>3.872983346207417</v>
      </c>
      <c r="C61">
        <f t="shared" si="6"/>
        <v>1.0000000000000002</v>
      </c>
      <c r="D61">
        <v>16</v>
      </c>
      <c r="E61">
        <f t="shared" si="4"/>
        <v>3.8987177379235853</v>
      </c>
      <c r="F61">
        <f t="shared" si="7"/>
        <v>1.0000000000000002</v>
      </c>
      <c r="G61" s="19">
        <v>16.2</v>
      </c>
    </row>
    <row r="62" spans="2:7">
      <c r="B62">
        <f t="shared" si="5"/>
        <v>3.8597279696890556</v>
      </c>
      <c r="C62">
        <f t="shared" si="6"/>
        <v>1.0500000000000003</v>
      </c>
      <c r="D62">
        <v>16</v>
      </c>
      <c r="E62">
        <f t="shared" si="4"/>
        <v>3.8855501540965856</v>
      </c>
      <c r="F62">
        <f t="shared" si="7"/>
        <v>1.0500000000000003</v>
      </c>
      <c r="G62" s="19">
        <v>16.2</v>
      </c>
    </row>
    <row r="63" spans="2:7">
      <c r="B63">
        <f t="shared" si="5"/>
        <v>3.8457769046058821</v>
      </c>
      <c r="C63">
        <f t="shared" si="6"/>
        <v>1.1000000000000003</v>
      </c>
      <c r="D63">
        <v>16</v>
      </c>
      <c r="E63">
        <f t="shared" si="4"/>
        <v>3.8716921365211876</v>
      </c>
      <c r="F63">
        <f t="shared" si="7"/>
        <v>1.1000000000000003</v>
      </c>
      <c r="G63" s="19">
        <v>16.2</v>
      </c>
    </row>
    <row r="64" spans="2:7">
      <c r="B64">
        <f t="shared" si="5"/>
        <v>3.8311225508981046</v>
      </c>
      <c r="C64">
        <f t="shared" si="6"/>
        <v>1.1500000000000004</v>
      </c>
      <c r="D64">
        <v>16</v>
      </c>
      <c r="E64">
        <f t="shared" si="4"/>
        <v>3.8571362433805727</v>
      </c>
      <c r="F64">
        <f t="shared" si="7"/>
        <v>1.1500000000000004</v>
      </c>
      <c r="G64" s="19">
        <v>16.2</v>
      </c>
    </row>
    <row r="65" spans="2:7">
      <c r="B65">
        <f t="shared" si="5"/>
        <v>3.8157568056677826</v>
      </c>
      <c r="C65">
        <f t="shared" si="6"/>
        <v>1.2000000000000004</v>
      </c>
      <c r="D65">
        <v>16</v>
      </c>
      <c r="E65">
        <f t="shared" si="4"/>
        <v>3.8418745424597089</v>
      </c>
      <c r="F65">
        <f t="shared" si="7"/>
        <v>1.2000000000000004</v>
      </c>
      <c r="G65" s="19">
        <v>16.2</v>
      </c>
    </row>
    <row r="66" spans="2:7">
      <c r="B66">
        <f t="shared" si="5"/>
        <v>3.7996710383926655</v>
      </c>
      <c r="C66">
        <f t="shared" si="6"/>
        <v>1.2500000000000004</v>
      </c>
      <c r="D66">
        <v>16</v>
      </c>
      <c r="E66">
        <f t="shared" si="4"/>
        <v>3.8258985872602529</v>
      </c>
      <c r="F66">
        <f t="shared" si="7"/>
        <v>1.2500000000000004</v>
      </c>
      <c r="G66" s="19">
        <v>16.2</v>
      </c>
    </row>
    <row r="67" spans="2:7">
      <c r="B67">
        <f t="shared" si="5"/>
        <v>3.7828560638755473</v>
      </c>
      <c r="C67">
        <f t="shared" si="6"/>
        <v>1.3000000000000005</v>
      </c>
      <c r="D67">
        <v>16</v>
      </c>
      <c r="E67">
        <f t="shared" si="4"/>
        <v>3.8091993909481818</v>
      </c>
      <c r="F67">
        <f t="shared" si="7"/>
        <v>1.3000000000000005</v>
      </c>
      <c r="G67" s="19">
        <v>16.2</v>
      </c>
    </row>
    <row r="68" spans="2:7">
      <c r="B68">
        <f t="shared" si="5"/>
        <v>3.7653021127128694</v>
      </c>
      <c r="C68">
        <f t="shared" si="6"/>
        <v>1.3500000000000005</v>
      </c>
      <c r="D68">
        <v>16</v>
      </c>
      <c r="E68">
        <f t="shared" si="4"/>
        <v>3.7917673979293611</v>
      </c>
      <c r="F68">
        <f t="shared" si="7"/>
        <v>1.3500000000000005</v>
      </c>
      <c r="G68" s="19">
        <v>16.2</v>
      </c>
    </row>
    <row r="69" spans="2:7">
      <c r="B69">
        <f t="shared" si="5"/>
        <v>3.746998799039039</v>
      </c>
      <c r="C69">
        <f t="shared" si="6"/>
        <v>1.4000000000000006</v>
      </c>
      <c r="D69">
        <v>16</v>
      </c>
      <c r="E69">
        <f t="shared" si="4"/>
        <v>3.7735924528226414</v>
      </c>
      <c r="F69">
        <f t="shared" si="7"/>
        <v>1.4000000000000006</v>
      </c>
      <c r="G69" s="19">
        <v>16.2</v>
      </c>
    </row>
    <row r="70" spans="2:7">
      <c r="B70">
        <f t="shared" si="5"/>
        <v>3.7279350852717377</v>
      </c>
      <c r="C70">
        <f t="shared" si="6"/>
        <v>1.4500000000000006</v>
      </c>
      <c r="D70">
        <v>16</v>
      </c>
      <c r="E70">
        <f t="shared" si="4"/>
        <v>3.7546637665708493</v>
      </c>
      <c r="F70">
        <f t="shared" si="7"/>
        <v>1.4500000000000006</v>
      </c>
      <c r="G70" s="19">
        <v>16.2</v>
      </c>
    </row>
    <row r="71" spans="2:7">
      <c r="B71">
        <f t="shared" si="5"/>
        <v>3.708099243547831</v>
      </c>
      <c r="C71">
        <f t="shared" si="6"/>
        <v>1.5000000000000007</v>
      </c>
      <c r="D71">
        <v>16</v>
      </c>
      <c r="E71">
        <f t="shared" si="4"/>
        <v>3.7349698793966195</v>
      </c>
      <c r="F71">
        <f t="shared" si="7"/>
        <v>1.5000000000000007</v>
      </c>
      <c r="G71" s="19">
        <v>16.2</v>
      </c>
    </row>
    <row r="72" spans="2:7">
      <c r="B72">
        <f t="shared" si="5"/>
        <v>3.6874788134984584</v>
      </c>
      <c r="C72">
        <f t="shared" si="6"/>
        <v>1.5500000000000007</v>
      </c>
      <c r="D72">
        <v>16</v>
      </c>
      <c r="E72">
        <f t="shared" si="4"/>
        <v>3.7144986202716508</v>
      </c>
      <c r="F72">
        <f t="shared" si="7"/>
        <v>1.5500000000000007</v>
      </c>
      <c r="G72" s="19">
        <v>16.2</v>
      </c>
    </row>
    <row r="73" spans="2:7">
      <c r="B73">
        <f t="shared" si="5"/>
        <v>3.6660605559646715</v>
      </c>
      <c r="C73">
        <f t="shared" si="6"/>
        <v>1.6000000000000008</v>
      </c>
      <c r="D73">
        <v>16</v>
      </c>
      <c r="E73">
        <f t="shared" si="4"/>
        <v>3.6932370625238771</v>
      </c>
      <c r="F73">
        <f t="shared" si="7"/>
        <v>1.6000000000000008</v>
      </c>
      <c r="G73" s="19">
        <v>16.2</v>
      </c>
    </row>
    <row r="74" spans="2:7">
      <c r="B74">
        <f t="shared" si="5"/>
        <v>3.6438304022004093</v>
      </c>
      <c r="C74">
        <f t="shared" si="6"/>
        <v>1.6500000000000008</v>
      </c>
      <c r="D74">
        <v>16</v>
      </c>
      <c r="E74">
        <f t="shared" si="4"/>
        <v>3.6711714751561244</v>
      </c>
      <c r="F74">
        <f t="shared" si="7"/>
        <v>1.6500000000000008</v>
      </c>
      <c r="G74" s="19">
        <v>16.2</v>
      </c>
    </row>
    <row r="75" spans="2:7">
      <c r="B75">
        <f t="shared" si="5"/>
        <v>3.6207733980463344</v>
      </c>
      <c r="C75">
        <f t="shared" si="6"/>
        <v>1.7000000000000008</v>
      </c>
      <c r="D75">
        <v>16</v>
      </c>
      <c r="E75">
        <f t="shared" si="4"/>
        <v>3.6482872693909396</v>
      </c>
      <c r="F75">
        <f t="shared" si="7"/>
        <v>1.7000000000000008</v>
      </c>
      <c r="G75" s="19">
        <v>16.2</v>
      </c>
    </row>
    <row r="76" spans="2:7">
      <c r="B76">
        <f t="shared" si="5"/>
        <v>3.5968736424845393</v>
      </c>
      <c r="C76">
        <f t="shared" si="6"/>
        <v>1.7500000000000009</v>
      </c>
      <c r="D76">
        <v>16</v>
      </c>
      <c r="E76">
        <f t="shared" si="4"/>
        <v>3.6245689398878862</v>
      </c>
      <c r="F76">
        <f t="shared" si="7"/>
        <v>1.7500000000000009</v>
      </c>
      <c r="G76" s="19">
        <v>16.2</v>
      </c>
    </row>
    <row r="77" spans="2:7">
      <c r="B77">
        <f t="shared" si="5"/>
        <v>3.5721142198983498</v>
      </c>
      <c r="C77">
        <f t="shared" si="6"/>
        <v>1.8000000000000009</v>
      </c>
      <c r="D77">
        <v>16</v>
      </c>
      <c r="E77">
        <f t="shared" si="4"/>
        <v>3.5999999999999992</v>
      </c>
      <c r="F77">
        <f t="shared" si="7"/>
        <v>1.8000000000000009</v>
      </c>
      <c r="G77" s="19">
        <v>16.2</v>
      </c>
    </row>
    <row r="78" spans="2:7">
      <c r="B78">
        <f t="shared" si="5"/>
        <v>3.5464771252610663</v>
      </c>
      <c r="C78">
        <f t="shared" si="6"/>
        <v>1.850000000000001</v>
      </c>
      <c r="D78">
        <v>16</v>
      </c>
      <c r="E78">
        <f t="shared" si="4"/>
        <v>3.5745629103430248</v>
      </c>
      <c r="F78">
        <f t="shared" si="7"/>
        <v>1.850000000000001</v>
      </c>
      <c r="G78" s="19">
        <v>16.2</v>
      </c>
    </row>
    <row r="79" spans="2:7">
      <c r="B79">
        <f t="shared" si="5"/>
        <v>3.5199431813596078</v>
      </c>
      <c r="C79">
        <f t="shared" si="6"/>
        <v>1.900000000000001</v>
      </c>
      <c r="D79">
        <v>16</v>
      </c>
      <c r="E79">
        <f t="shared" si="4"/>
        <v>3.5482389998420336</v>
      </c>
      <c r="F79">
        <f t="shared" si="7"/>
        <v>1.900000000000001</v>
      </c>
      <c r="G79" s="19">
        <v>16.2</v>
      </c>
    </row>
    <row r="81" spans="3:3">
      <c r="C81" t="s">
        <v>715</v>
      </c>
    </row>
  </sheetData>
  <phoneticPr fontId="0" type="noConversion"/>
  <pageMargins left="0.75" right="0.75" top="1" bottom="1" header="0.5" footer="0.5"/>
  <headerFooter alignWithMargins="0"/>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indexed="53"/>
  </sheetPr>
  <dimension ref="A1:U176"/>
  <sheetViews>
    <sheetView zoomScale="120" zoomScaleNormal="120" workbookViewId="0">
      <selection activeCell="C4" sqref="C4"/>
    </sheetView>
  </sheetViews>
  <sheetFormatPr defaultColWidth="8.81640625" defaultRowHeight="12.5"/>
  <cols>
    <col min="1" max="1" width="28.453125" customWidth="1"/>
    <col min="2" max="2" width="19.453125" customWidth="1"/>
    <col min="3" max="3" width="12.54296875" customWidth="1"/>
    <col min="4" max="4" width="11.453125" customWidth="1"/>
    <col min="5" max="5" width="9.453125" bestFit="1" customWidth="1"/>
    <col min="7" max="7" width="10.81640625" customWidth="1"/>
    <col min="10" max="10" width="9.54296875" customWidth="1"/>
    <col min="11" max="11" width="10.54296875" customWidth="1"/>
    <col min="12" max="12" width="11" customWidth="1"/>
    <col min="14" max="14" width="11.54296875" customWidth="1"/>
    <col min="15" max="15" width="16.1796875" customWidth="1"/>
  </cols>
  <sheetData>
    <row r="1" spans="1:21" ht="23.5" thickBot="1">
      <c r="A1" s="378" t="s">
        <v>493</v>
      </c>
      <c r="B1" s="24"/>
      <c r="C1" s="24"/>
      <c r="D1" s="24"/>
      <c r="E1" s="612" t="str">
        <f>'Title Page'!F3</f>
        <v>OreSat - CS0</v>
      </c>
      <c r="F1" s="24"/>
      <c r="G1" s="51" t="s">
        <v>715</v>
      </c>
      <c r="H1" s="24"/>
      <c r="I1" s="51" t="str">
        <f>'Title Page'!F23</f>
        <v>2019 June 21</v>
      </c>
      <c r="J1" s="51"/>
      <c r="K1" s="51" t="str">
        <f>'Title Page'!G1</f>
        <v xml:space="preserve"> Version: 2.5.5</v>
      </c>
      <c r="L1" s="51"/>
      <c r="M1" s="24"/>
      <c r="N1" s="24"/>
      <c r="O1" s="24"/>
      <c r="P1" s="24"/>
      <c r="Q1" s="127"/>
      <c r="R1" s="127"/>
      <c r="S1" s="127"/>
      <c r="T1" s="127"/>
      <c r="U1" s="291"/>
    </row>
    <row r="2" spans="1:21" ht="12.75" customHeight="1">
      <c r="A2" s="815" t="s">
        <v>588</v>
      </c>
      <c r="B2" s="101"/>
      <c r="C2" s="101"/>
      <c r="D2" s="101"/>
      <c r="E2" s="734"/>
      <c r="F2" s="101"/>
      <c r="G2" s="455"/>
      <c r="H2" s="101"/>
      <c r="I2" s="455"/>
      <c r="J2" s="455"/>
      <c r="K2" s="455"/>
      <c r="L2" s="455"/>
      <c r="M2" s="101"/>
      <c r="N2" s="101"/>
      <c r="O2" s="101"/>
      <c r="P2" s="101"/>
      <c r="Q2" s="101"/>
      <c r="R2" s="101"/>
      <c r="S2" s="101"/>
      <c r="T2" s="101"/>
      <c r="U2" s="101"/>
    </row>
    <row r="3" spans="1:21" s="735" customFormat="1" ht="12.75" customHeight="1" thickBot="1">
      <c r="A3" s="815" t="s">
        <v>589</v>
      </c>
      <c r="B3" s="488"/>
      <c r="C3" s="488"/>
      <c r="D3" s="488"/>
      <c r="E3" s="734"/>
      <c r="F3" s="488"/>
      <c r="G3" s="455"/>
      <c r="H3" s="488"/>
      <c r="I3" s="455"/>
      <c r="J3" s="455"/>
      <c r="K3" s="455"/>
      <c r="L3" s="455"/>
      <c r="M3" s="488"/>
      <c r="N3" s="488"/>
      <c r="O3" s="488"/>
      <c r="P3" s="488"/>
      <c r="Q3" s="488"/>
      <c r="R3" s="488"/>
      <c r="S3" s="488"/>
      <c r="T3" s="488"/>
      <c r="U3" s="488"/>
    </row>
    <row r="4" spans="1:21" s="735" customFormat="1" ht="12.75" customHeight="1" thickBot="1">
      <c r="A4" s="816" t="s">
        <v>587</v>
      </c>
      <c r="B4" s="738" t="s">
        <v>524</v>
      </c>
      <c r="C4" s="383">
        <v>1</v>
      </c>
      <c r="D4" s="774" t="str">
        <f>INDEX(C6:DC9,C4,1)</f>
        <v>LEO</v>
      </c>
      <c r="E4" s="734"/>
      <c r="F4" s="738" t="s">
        <v>692</v>
      </c>
      <c r="G4" s="776">
        <f>INDEX(D6:D9,C4,1)</f>
        <v>1454.4339505997034</v>
      </c>
      <c r="H4" s="775" t="s">
        <v>720</v>
      </c>
      <c r="I4" s="488" t="s">
        <v>526</v>
      </c>
      <c r="J4" s="455"/>
      <c r="K4" s="455"/>
      <c r="L4" s="455"/>
      <c r="M4" s="488"/>
      <c r="N4" s="488"/>
      <c r="O4" s="488"/>
      <c r="P4" s="488"/>
      <c r="Q4" s="488"/>
      <c r="R4" s="488"/>
      <c r="S4" s="488"/>
      <c r="T4" s="488"/>
      <c r="U4" s="488"/>
    </row>
    <row r="5" spans="1:21" s="735" customFormat="1" ht="12.75" customHeight="1">
      <c r="A5" s="455"/>
      <c r="B5" s="736" t="s">
        <v>527</v>
      </c>
      <c r="C5" s="736" t="s">
        <v>712</v>
      </c>
      <c r="D5" s="736" t="s">
        <v>525</v>
      </c>
      <c r="E5" s="734"/>
      <c r="F5" s="739"/>
      <c r="G5" s="455"/>
      <c r="H5" s="488"/>
      <c r="I5" s="488"/>
      <c r="J5" s="455"/>
      <c r="K5" s="455"/>
      <c r="L5" s="455"/>
      <c r="M5" s="488"/>
      <c r="N5" s="488"/>
      <c r="O5" s="488"/>
      <c r="P5" s="488"/>
      <c r="Q5" s="488"/>
      <c r="R5" s="488"/>
      <c r="S5" s="488"/>
      <c r="T5" s="488"/>
      <c r="U5" s="488"/>
    </row>
    <row r="6" spans="1:21" ht="12.75" customHeight="1">
      <c r="A6" s="733"/>
      <c r="B6" s="737">
        <v>1</v>
      </c>
      <c r="C6" s="737" t="s">
        <v>521</v>
      </c>
      <c r="D6" s="742">
        <f>B36</f>
        <v>1454.4339505997034</v>
      </c>
      <c r="E6" s="488" t="s">
        <v>720</v>
      </c>
      <c r="F6" s="101"/>
      <c r="G6" s="455"/>
      <c r="H6" s="101"/>
      <c r="I6" s="455"/>
      <c r="J6" s="455"/>
      <c r="K6" s="455"/>
      <c r="L6" s="455"/>
      <c r="M6" s="101" t="s">
        <v>715</v>
      </c>
      <c r="N6" s="101"/>
      <c r="O6" s="101"/>
      <c r="P6" s="101"/>
      <c r="Q6" s="101"/>
      <c r="R6" s="101"/>
      <c r="S6" s="101"/>
      <c r="T6" s="101"/>
      <c r="U6" s="101"/>
    </row>
    <row r="7" spans="1:21" ht="12.75" customHeight="1">
      <c r="A7" s="733"/>
      <c r="B7" s="737">
        <v>2</v>
      </c>
      <c r="C7" s="737" t="s">
        <v>522</v>
      </c>
      <c r="D7" s="747">
        <f>K63</f>
        <v>41126.753187550428</v>
      </c>
      <c r="E7" s="488" t="s">
        <v>720</v>
      </c>
      <c r="F7" s="101"/>
      <c r="G7" s="455"/>
      <c r="H7" s="101"/>
      <c r="I7" s="455"/>
      <c r="J7" s="455"/>
      <c r="K7" s="455"/>
      <c r="L7" s="455"/>
      <c r="M7" s="101"/>
      <c r="N7" s="101"/>
      <c r="O7" s="101"/>
      <c r="P7" s="101"/>
      <c r="Q7" s="101"/>
      <c r="R7" s="101"/>
      <c r="S7" s="101"/>
      <c r="T7" s="101"/>
      <c r="U7" s="101"/>
    </row>
    <row r="8" spans="1:21" ht="12.75" customHeight="1">
      <c r="A8" s="733"/>
      <c r="B8" s="737">
        <v>3</v>
      </c>
      <c r="C8" s="737" t="s">
        <v>523</v>
      </c>
      <c r="D8" s="742">
        <f>B104</f>
        <v>36488.15588571554</v>
      </c>
      <c r="E8" s="488" t="s">
        <v>720</v>
      </c>
      <c r="F8" s="101"/>
      <c r="G8" s="455"/>
      <c r="H8" s="101"/>
      <c r="I8" s="455"/>
      <c r="J8" s="455"/>
      <c r="K8" s="455"/>
      <c r="L8" s="455"/>
      <c r="M8" s="101"/>
      <c r="N8" s="101"/>
      <c r="O8" s="101"/>
      <c r="P8" s="101"/>
      <c r="Q8" s="101"/>
      <c r="R8" s="101"/>
      <c r="S8" s="101"/>
      <c r="T8" s="101"/>
      <c r="U8" s="101"/>
    </row>
    <row r="9" spans="1:21" ht="12.75" customHeight="1">
      <c r="A9" s="733"/>
      <c r="B9" s="737">
        <v>4</v>
      </c>
      <c r="C9" s="773" t="s">
        <v>691</v>
      </c>
      <c r="D9" s="819">
        <f>D125</f>
        <v>315000000.00000006</v>
      </c>
      <c r="E9" s="488" t="s">
        <v>720</v>
      </c>
      <c r="F9" s="101"/>
      <c r="G9" s="455"/>
      <c r="H9" s="101"/>
      <c r="I9" s="455"/>
      <c r="J9" s="455"/>
      <c r="K9" s="455"/>
      <c r="L9" s="455"/>
      <c r="M9" s="101"/>
      <c r="N9" s="101"/>
      <c r="O9" s="101"/>
      <c r="P9" s="101"/>
      <c r="Q9" s="101"/>
      <c r="R9" s="101"/>
      <c r="S9" s="101"/>
      <c r="T9" s="101"/>
      <c r="U9" s="101"/>
    </row>
    <row r="10" spans="1:21" ht="12.75" customHeight="1" thickBot="1">
      <c r="A10" s="721"/>
      <c r="B10" s="3"/>
      <c r="C10" s="3"/>
      <c r="D10" s="3"/>
      <c r="E10" s="3"/>
      <c r="F10" s="3"/>
      <c r="G10" s="3"/>
      <c r="H10" s="3"/>
      <c r="I10" s="3"/>
      <c r="J10" s="3"/>
      <c r="K10" s="3"/>
      <c r="L10" s="3"/>
      <c r="M10" s="3"/>
      <c r="N10" s="3"/>
      <c r="O10" s="3"/>
      <c r="P10" s="3"/>
      <c r="Q10" s="3"/>
      <c r="R10" s="3"/>
      <c r="S10" s="3"/>
      <c r="T10" s="3"/>
      <c r="U10" s="3"/>
    </row>
    <row r="11" spans="1:21" ht="13.5" thickBot="1">
      <c r="A11" s="3"/>
      <c r="B11" s="466"/>
      <c r="C11" s="3"/>
      <c r="D11" s="649" t="s">
        <v>741</v>
      </c>
      <c r="E11" s="26" t="s">
        <v>742</v>
      </c>
      <c r="F11" s="26"/>
      <c r="G11" s="3"/>
      <c r="H11" s="3"/>
      <c r="I11" s="48" t="s">
        <v>743</v>
      </c>
      <c r="J11" s="27" t="s">
        <v>744</v>
      </c>
      <c r="K11" s="3"/>
      <c r="L11" s="4" t="s">
        <v>824</v>
      </c>
      <c r="M11" s="3"/>
      <c r="N11" s="3"/>
      <c r="O11" s="3"/>
      <c r="P11" s="3"/>
      <c r="Q11" s="3"/>
      <c r="R11" s="3"/>
      <c r="S11" s="3"/>
      <c r="T11" s="3"/>
      <c r="U11" s="3"/>
    </row>
    <row r="12" spans="1:21" ht="13">
      <c r="A12" s="3" t="s">
        <v>827</v>
      </c>
      <c r="B12" s="653" t="s">
        <v>167</v>
      </c>
      <c r="C12" s="3"/>
      <c r="D12" s="49" t="s">
        <v>745</v>
      </c>
      <c r="E12" s="26" t="s">
        <v>834</v>
      </c>
      <c r="F12" s="26"/>
      <c r="G12" s="3"/>
      <c r="H12" s="3"/>
      <c r="I12" s="379" t="s">
        <v>821</v>
      </c>
      <c r="J12" s="27" t="s">
        <v>826</v>
      </c>
      <c r="K12" s="3"/>
      <c r="L12" s="3"/>
      <c r="M12" s="3"/>
      <c r="N12" s="3"/>
      <c r="O12" s="3"/>
      <c r="P12" s="3"/>
      <c r="Q12" s="3"/>
      <c r="R12" s="3"/>
      <c r="S12" s="3"/>
      <c r="T12" s="3"/>
      <c r="U12" s="3"/>
    </row>
    <row r="13" spans="1:21" ht="13" thickBot="1">
      <c r="A13" s="112"/>
      <c r="B13" s="749"/>
      <c r="C13" s="112"/>
      <c r="D13" s="750"/>
      <c r="E13" s="751"/>
      <c r="F13" s="751"/>
      <c r="G13" s="112"/>
      <c r="H13" s="112"/>
      <c r="I13" s="752"/>
      <c r="J13" s="753"/>
      <c r="K13" s="112"/>
      <c r="L13" s="112"/>
      <c r="M13" s="112"/>
      <c r="N13" s="112"/>
      <c r="O13" s="112"/>
      <c r="P13" s="112"/>
      <c r="Q13" s="112"/>
      <c r="R13" s="112"/>
      <c r="S13" s="112"/>
      <c r="T13" s="112"/>
      <c r="U13" s="112"/>
    </row>
    <row r="14" spans="1:21" ht="15.5">
      <c r="A14" s="801" t="s">
        <v>512</v>
      </c>
      <c r="B14" s="345" t="s">
        <v>250</v>
      </c>
      <c r="C14" s="23"/>
      <c r="D14" s="23"/>
      <c r="E14" s="23"/>
      <c r="F14" s="23"/>
      <c r="G14" s="23"/>
      <c r="H14" s="23"/>
      <c r="I14" s="23"/>
      <c r="J14" s="23"/>
      <c r="K14" s="23"/>
      <c r="L14" s="23"/>
      <c r="M14" s="23"/>
      <c r="N14" s="23"/>
      <c r="O14" s="23"/>
      <c r="P14" s="23"/>
      <c r="Q14" s="23"/>
      <c r="R14" s="23"/>
      <c r="S14" s="23"/>
      <c r="T14" s="23"/>
      <c r="U14" s="23"/>
    </row>
    <row r="15" spans="1:21" ht="15.5">
      <c r="A15" s="722" t="s">
        <v>494</v>
      </c>
      <c r="B15" s="720"/>
      <c r="C15" s="720"/>
      <c r="Q15" s="3"/>
      <c r="R15" s="3"/>
      <c r="S15" s="3"/>
      <c r="T15" s="3"/>
      <c r="U15" s="3"/>
    </row>
    <row r="16" spans="1:21" ht="13">
      <c r="A16" s="4" t="s">
        <v>750</v>
      </c>
      <c r="B16" s="4"/>
      <c r="C16" s="4"/>
      <c r="Q16" s="3"/>
      <c r="R16" s="3"/>
      <c r="S16" s="3"/>
      <c r="T16" s="3"/>
      <c r="U16" s="3"/>
    </row>
    <row r="17" spans="1:21" ht="13">
      <c r="A17" s="9" t="s">
        <v>716</v>
      </c>
      <c r="B17" s="10" t="s">
        <v>717</v>
      </c>
      <c r="C17" s="11" t="s">
        <v>718</v>
      </c>
      <c r="Q17" s="3"/>
      <c r="R17" s="3"/>
      <c r="S17" s="3"/>
      <c r="T17" s="3"/>
      <c r="U17" s="3"/>
    </row>
    <row r="18" spans="1:21">
      <c r="A18" s="12" t="s">
        <v>719</v>
      </c>
      <c r="B18" s="13">
        <v>6378.1360000000004</v>
      </c>
      <c r="C18" s="12" t="s">
        <v>720</v>
      </c>
      <c r="Q18" s="3"/>
      <c r="R18" s="3"/>
      <c r="S18" s="3"/>
      <c r="T18" s="3"/>
      <c r="U18" s="3"/>
    </row>
    <row r="19" spans="1:21">
      <c r="A19" s="12" t="s">
        <v>739</v>
      </c>
      <c r="B19" s="629">
        <v>408</v>
      </c>
      <c r="C19" s="12" t="s">
        <v>720</v>
      </c>
      <c r="Q19" s="3"/>
      <c r="R19" s="3"/>
      <c r="S19" s="3"/>
      <c r="T19" s="3"/>
      <c r="U19" s="3"/>
    </row>
    <row r="20" spans="1:21">
      <c r="A20" s="12" t="s">
        <v>740</v>
      </c>
      <c r="B20" s="628">
        <v>403</v>
      </c>
      <c r="C20" s="12" t="s">
        <v>720</v>
      </c>
      <c r="Q20" s="3"/>
      <c r="R20" s="3"/>
      <c r="S20" s="3"/>
      <c r="T20" s="3"/>
      <c r="U20" s="3"/>
    </row>
    <row r="21" spans="1:21">
      <c r="A21" s="3" t="s">
        <v>721</v>
      </c>
      <c r="B21" s="630">
        <f>(B19+B20+2*B18)/2</f>
        <v>6783.6360000000004</v>
      </c>
      <c r="C21" s="3" t="s">
        <v>720</v>
      </c>
      <c r="Q21" s="3"/>
      <c r="R21" s="3"/>
      <c r="S21" s="3"/>
      <c r="T21" s="3"/>
      <c r="U21" s="3"/>
    </row>
    <row r="22" spans="1:21">
      <c r="A22" s="3" t="s">
        <v>722</v>
      </c>
      <c r="B22" s="14">
        <f>((B19+B18)-(B20+B18))/((B19+B18)+(B20+B18))</f>
        <v>3.6853392487450683E-4</v>
      </c>
      <c r="C22" s="3"/>
      <c r="Q22" s="3"/>
      <c r="R22" s="3"/>
      <c r="S22" s="3"/>
      <c r="T22" s="3"/>
      <c r="U22" s="3"/>
    </row>
    <row r="23" spans="1:21">
      <c r="A23" s="3" t="s">
        <v>723</v>
      </c>
      <c r="B23" s="60">
        <v>51.6</v>
      </c>
      <c r="C23" s="3" t="s">
        <v>4</v>
      </c>
      <c r="Q23" s="3"/>
      <c r="R23" s="3"/>
      <c r="S23" s="3"/>
      <c r="T23" s="3"/>
      <c r="U23" s="3"/>
    </row>
    <row r="24" spans="1:21">
      <c r="A24" s="3" t="s">
        <v>725</v>
      </c>
      <c r="B24" s="61">
        <v>180</v>
      </c>
      <c r="C24" s="3" t="s">
        <v>4</v>
      </c>
      <c r="Q24" s="3"/>
      <c r="R24" s="3"/>
      <c r="S24" s="3"/>
      <c r="T24" s="3"/>
      <c r="U24" s="3"/>
    </row>
    <row r="25" spans="1:21">
      <c r="A25" s="3" t="s">
        <v>726</v>
      </c>
      <c r="B25" s="757">
        <v>123.7</v>
      </c>
      <c r="C25" s="3" t="s">
        <v>4</v>
      </c>
      <c r="Q25" s="3"/>
      <c r="R25" s="3"/>
      <c r="S25" s="3"/>
      <c r="T25" s="3"/>
      <c r="U25" s="3"/>
    </row>
    <row r="26" spans="1:21">
      <c r="A26" s="3" t="s">
        <v>727</v>
      </c>
      <c r="B26" s="62">
        <v>0</v>
      </c>
      <c r="C26" s="3" t="s">
        <v>4</v>
      </c>
      <c r="Q26" s="3"/>
      <c r="R26" s="3"/>
      <c r="S26" s="3"/>
      <c r="T26" s="3"/>
      <c r="U26" s="3"/>
    </row>
    <row r="27" spans="1:21">
      <c r="A27" s="3" t="s">
        <v>728</v>
      </c>
      <c r="B27" s="32">
        <f xml:space="preserve"> 84.4892*((B21/B18)^1.5)</f>
        <v>92.673238367165595</v>
      </c>
      <c r="C27" s="3" t="s">
        <v>729</v>
      </c>
      <c r="Q27" s="3"/>
      <c r="R27" s="3"/>
      <c r="S27" s="3"/>
      <c r="T27" s="3"/>
      <c r="U27" s="3"/>
    </row>
    <row r="28" spans="1:21">
      <c r="A28" s="3" t="s">
        <v>730</v>
      </c>
      <c r="B28" s="16">
        <f>19.919482*((B18/B21)^3.5)*(1-1.25*((SIN(B23/57.29578))^2))/((1-B22^2)^2)</f>
        <v>3.7290709859689151</v>
      </c>
      <c r="C28" s="3" t="s">
        <v>731</v>
      </c>
      <c r="Q28" s="3"/>
      <c r="R28" s="3"/>
      <c r="S28" s="3"/>
      <c r="T28" s="3"/>
      <c r="U28" s="3"/>
    </row>
    <row r="29" spans="1:21">
      <c r="A29" s="3" t="s">
        <v>732</v>
      </c>
      <c r="B29" s="16">
        <f>(-9.9597408/(1-B22^2)^2)*((B18/B21)^3.5)*COS(B23/57.29578)</f>
        <v>-4.9860018218750062</v>
      </c>
      <c r="C29" s="3" t="s">
        <v>731</v>
      </c>
      <c r="Q29" s="3"/>
      <c r="R29" s="3"/>
      <c r="S29" s="3"/>
      <c r="T29" s="3"/>
      <c r="U29" s="3"/>
    </row>
    <row r="30" spans="1:21">
      <c r="A30" s="3" t="s">
        <v>820</v>
      </c>
      <c r="B30" s="49" t="s">
        <v>837</v>
      </c>
      <c r="C30" s="3" t="s">
        <v>731</v>
      </c>
      <c r="Q30" s="3"/>
      <c r="R30" s="3"/>
      <c r="S30" s="3"/>
      <c r="T30" s="3"/>
      <c r="U30" s="3"/>
    </row>
    <row r="31" spans="1:21">
      <c r="A31" s="3" t="s">
        <v>746</v>
      </c>
      <c r="B31" s="15">
        <f>(B19+B20)/2</f>
        <v>405.5</v>
      </c>
      <c r="C31" s="3" t="s">
        <v>720</v>
      </c>
      <c r="Q31" s="3"/>
      <c r="R31" s="3"/>
      <c r="S31" s="3"/>
      <c r="T31" s="3"/>
      <c r="U31" s="3"/>
    </row>
    <row r="32" spans="1:21">
      <c r="A32" s="3" t="s">
        <v>752</v>
      </c>
      <c r="B32" s="30">
        <f>B31+B18</f>
        <v>6783.6360000000004</v>
      </c>
      <c r="C32" s="3" t="s">
        <v>720</v>
      </c>
      <c r="Q32" s="3"/>
      <c r="R32" s="3"/>
      <c r="S32" s="3"/>
      <c r="T32" s="3"/>
      <c r="U32" s="3"/>
    </row>
    <row r="33" spans="1:21">
      <c r="A33" s="3" t="s">
        <v>761</v>
      </c>
      <c r="B33" s="15">
        <f>57.2958*ACOS((0.98561)/(-9.95974/(((1-B22^2)^2))*(B18/B21)^3.5))</f>
        <v>97.052932990475142</v>
      </c>
      <c r="C33" s="3" t="s">
        <v>135</v>
      </c>
      <c r="Q33" s="3"/>
      <c r="R33" s="3"/>
      <c r="S33" s="3"/>
      <c r="T33" s="3"/>
      <c r="U33" s="3"/>
    </row>
    <row r="34" spans="1:21" ht="13">
      <c r="A34" s="3" t="s">
        <v>747</v>
      </c>
      <c r="B34" s="382">
        <v>10</v>
      </c>
      <c r="C34" s="3" t="s">
        <v>135</v>
      </c>
      <c r="Q34" s="3"/>
      <c r="R34" s="3"/>
      <c r="S34" s="3"/>
      <c r="T34" s="3"/>
      <c r="U34" s="3"/>
    </row>
    <row r="35" spans="1:21" ht="13" thickBot="1">
      <c r="A35" s="3"/>
      <c r="B35" s="17"/>
      <c r="C35" s="3"/>
      <c r="Q35" s="3"/>
      <c r="R35" s="3"/>
      <c r="S35" s="3"/>
      <c r="T35" s="3"/>
      <c r="U35" s="3"/>
    </row>
    <row r="36" spans="1:21" ht="13.5" thickBot="1">
      <c r="A36" s="3" t="s">
        <v>839</v>
      </c>
      <c r="B36" s="741">
        <f>B18*((((B32^2/B18^2)-(COS(B34/57.2958))^2)^0.5)-SIN(B34/57.2958))</f>
        <v>1454.4339505997034</v>
      </c>
      <c r="C36" s="3" t="s">
        <v>751</v>
      </c>
      <c r="Q36" s="3"/>
      <c r="R36" s="3"/>
      <c r="S36" s="3"/>
      <c r="T36" s="3"/>
      <c r="U36" s="3"/>
    </row>
    <row r="37" spans="1:21" ht="13" thickBot="1">
      <c r="A37" s="112"/>
      <c r="B37" s="687"/>
      <c r="C37" s="112"/>
      <c r="D37" s="688"/>
      <c r="E37" s="688"/>
      <c r="F37" s="688"/>
      <c r="G37" s="688"/>
      <c r="H37" s="688"/>
      <c r="I37" s="688"/>
      <c r="J37" s="688"/>
      <c r="K37" s="688"/>
      <c r="L37" s="688"/>
      <c r="M37" s="688"/>
      <c r="N37" s="688"/>
      <c r="O37" s="688"/>
      <c r="P37" s="688"/>
      <c r="Q37" s="112"/>
      <c r="R37" s="112"/>
      <c r="S37" s="112"/>
      <c r="T37" s="112"/>
      <c r="U37" s="112"/>
    </row>
    <row r="38" spans="1:21" ht="16" thickBot="1">
      <c r="A38" s="802" t="s">
        <v>513</v>
      </c>
      <c r="B38" s="23"/>
      <c r="C38" s="783" t="s">
        <v>140</v>
      </c>
      <c r="D38" s="23"/>
      <c r="E38" s="23"/>
      <c r="F38" s="23"/>
      <c r="G38" s="689"/>
      <c r="H38" s="23"/>
      <c r="I38" s="23"/>
      <c r="J38" s="23" t="s">
        <v>654</v>
      </c>
      <c r="K38" s="23"/>
      <c r="L38" s="23"/>
      <c r="M38" s="23"/>
      <c r="N38" s="23"/>
      <c r="O38" s="23"/>
      <c r="P38" s="23"/>
      <c r="Q38" s="23"/>
      <c r="R38" s="23"/>
      <c r="S38" s="23"/>
      <c r="T38" s="23"/>
      <c r="U38" s="23"/>
    </row>
    <row r="39" spans="1:21" ht="15.5">
      <c r="A39" s="722" t="s">
        <v>495</v>
      </c>
      <c r="B39" s="720"/>
      <c r="C39" s="720"/>
      <c r="D39" s="690"/>
      <c r="E39" s="691"/>
      <c r="F39" s="691"/>
      <c r="G39" s="691"/>
      <c r="H39" s="691"/>
      <c r="I39" s="691"/>
      <c r="J39" s="691"/>
      <c r="K39" s="691"/>
      <c r="L39" s="691"/>
      <c r="M39" s="692"/>
      <c r="N39" s="3"/>
      <c r="O39" s="3"/>
      <c r="P39" s="3"/>
      <c r="Q39" s="3"/>
      <c r="R39" s="3"/>
      <c r="S39" s="3"/>
      <c r="T39" s="3"/>
      <c r="U39" s="3"/>
    </row>
    <row r="40" spans="1:21" ht="13">
      <c r="A40" s="4" t="s">
        <v>478</v>
      </c>
      <c r="B40" s="4"/>
      <c r="C40" s="4"/>
      <c r="D40" s="693"/>
      <c r="E40" s="694"/>
      <c r="F40" s="694"/>
      <c r="G40" s="694"/>
      <c r="H40" s="694"/>
      <c r="I40" s="694"/>
      <c r="J40" s="694"/>
      <c r="K40" s="694"/>
      <c r="L40" s="694"/>
      <c r="M40" s="695"/>
      <c r="N40" s="3"/>
      <c r="O40" s="3"/>
      <c r="P40" s="3"/>
      <c r="Q40" s="3"/>
      <c r="R40" s="3"/>
      <c r="S40" s="3"/>
      <c r="T40" s="3"/>
      <c r="U40" s="3"/>
    </row>
    <row r="41" spans="1:21" ht="13">
      <c r="A41" s="9" t="s">
        <v>716</v>
      </c>
      <c r="B41" s="10" t="s">
        <v>717</v>
      </c>
      <c r="C41" s="10" t="s">
        <v>718</v>
      </c>
      <c r="D41" s="693"/>
      <c r="E41" s="694"/>
      <c r="F41" s="694"/>
      <c r="G41" s="694"/>
      <c r="H41" s="694"/>
      <c r="I41" s="694"/>
      <c r="J41" s="694"/>
      <c r="K41" s="694"/>
      <c r="L41" s="694"/>
      <c r="M41" s="695"/>
      <c r="N41" s="3"/>
      <c r="O41" s="3"/>
      <c r="P41" s="3"/>
      <c r="Q41" s="3"/>
      <c r="R41" s="3"/>
      <c r="S41" s="3"/>
      <c r="T41" s="3"/>
      <c r="U41" s="3"/>
    </row>
    <row r="42" spans="1:21">
      <c r="A42" s="12" t="s">
        <v>719</v>
      </c>
      <c r="B42" s="13">
        <v>6378.1369999999997</v>
      </c>
      <c r="C42" s="12" t="s">
        <v>720</v>
      </c>
      <c r="D42" s="693"/>
      <c r="E42" s="694"/>
      <c r="F42" s="694"/>
      <c r="G42" s="694"/>
      <c r="H42" s="694"/>
      <c r="I42" s="694"/>
      <c r="J42" s="694"/>
      <c r="K42" s="694"/>
      <c r="L42" s="694"/>
      <c r="M42" s="695"/>
      <c r="N42" s="3"/>
      <c r="O42" s="3"/>
      <c r="P42" s="3"/>
      <c r="Q42" s="3"/>
      <c r="R42" s="3"/>
      <c r="S42" s="3"/>
      <c r="T42" s="3"/>
      <c r="U42" s="3"/>
    </row>
    <row r="43" spans="1:21">
      <c r="A43" s="12" t="s">
        <v>479</v>
      </c>
      <c r="B43" s="804">
        <v>35786</v>
      </c>
      <c r="C43" s="12" t="s">
        <v>720</v>
      </c>
      <c r="D43" s="693"/>
      <c r="E43" s="694"/>
      <c r="F43" s="694"/>
      <c r="G43" s="694"/>
      <c r="H43" s="694"/>
      <c r="I43" s="694"/>
      <c r="J43" s="694"/>
      <c r="K43" s="694"/>
      <c r="L43" s="694"/>
      <c r="M43" s="695"/>
      <c r="N43" s="3"/>
      <c r="O43" s="3"/>
      <c r="P43" s="3"/>
      <c r="Q43" s="3"/>
      <c r="R43" s="3"/>
      <c r="S43" s="3"/>
      <c r="T43" s="3"/>
      <c r="U43" s="3"/>
    </row>
    <row r="44" spans="1:21">
      <c r="A44" s="12" t="s">
        <v>480</v>
      </c>
      <c r="B44" s="805">
        <v>500</v>
      </c>
      <c r="C44" s="12" t="s">
        <v>720</v>
      </c>
      <c r="D44" s="693"/>
      <c r="E44" s="694"/>
      <c r="F44" s="694"/>
      <c r="G44" s="694"/>
      <c r="H44" s="694"/>
      <c r="I44" s="694"/>
      <c r="J44" s="694"/>
      <c r="K44" s="694"/>
      <c r="L44" s="694"/>
      <c r="M44" s="695"/>
      <c r="N44" s="3"/>
      <c r="O44" s="3"/>
      <c r="P44" s="3"/>
      <c r="Q44" s="3"/>
      <c r="R44" s="3"/>
      <c r="S44" s="3"/>
      <c r="T44" s="3"/>
      <c r="U44" s="3"/>
    </row>
    <row r="45" spans="1:21">
      <c r="A45" s="3" t="s">
        <v>721</v>
      </c>
      <c r="B45" s="13">
        <f>(B43+B44+2*B42)/2</f>
        <v>24521.136999999999</v>
      </c>
      <c r="C45" s="3" t="s">
        <v>720</v>
      </c>
      <c r="D45" s="693"/>
      <c r="E45" s="694"/>
      <c r="F45" s="694"/>
      <c r="G45" s="694"/>
      <c r="H45" s="694"/>
      <c r="I45" s="694"/>
      <c r="J45" s="694"/>
      <c r="K45" s="694"/>
      <c r="L45" s="694"/>
      <c r="M45" s="695"/>
      <c r="N45" s="3"/>
      <c r="O45" s="3"/>
      <c r="P45" s="3"/>
      <c r="Q45" s="3"/>
      <c r="R45" s="3"/>
      <c r="S45" s="3"/>
      <c r="T45" s="3"/>
      <c r="U45" s="3"/>
    </row>
    <row r="46" spans="1:21">
      <c r="A46" s="3" t="s">
        <v>722</v>
      </c>
      <c r="B46" s="14">
        <f>((B43+B42)-(B44+B42))/((B43+B42)+(B44+B42))</f>
        <v>0.71950170989216355</v>
      </c>
      <c r="C46" s="3"/>
      <c r="D46" s="693"/>
      <c r="E46" s="694"/>
      <c r="F46" s="694"/>
      <c r="G46" s="694"/>
      <c r="H46" s="694"/>
      <c r="I46" s="694"/>
      <c r="J46" s="694"/>
      <c r="K46" s="694"/>
      <c r="L46" s="694"/>
      <c r="M46" s="695"/>
      <c r="N46" s="3"/>
      <c r="O46" s="3"/>
      <c r="P46" s="3"/>
      <c r="Q46" s="3"/>
      <c r="R46" s="3"/>
      <c r="S46" s="3"/>
      <c r="T46" s="3"/>
      <c r="U46" s="3"/>
    </row>
    <row r="47" spans="1:21">
      <c r="A47" s="3" t="s">
        <v>723</v>
      </c>
      <c r="B47" s="60">
        <v>7</v>
      </c>
      <c r="C47" s="3" t="s">
        <v>724</v>
      </c>
      <c r="D47" s="693"/>
      <c r="E47" s="694"/>
      <c r="F47" s="694"/>
      <c r="G47" s="694"/>
      <c r="H47" s="694"/>
      <c r="I47" s="694"/>
      <c r="J47" s="694"/>
      <c r="K47" s="694"/>
      <c r="L47" s="694"/>
      <c r="M47" s="695"/>
      <c r="N47" s="3"/>
      <c r="O47" s="3"/>
      <c r="P47" s="3"/>
      <c r="Q47" s="3"/>
      <c r="R47" s="3"/>
      <c r="S47" s="3"/>
      <c r="T47" s="3"/>
      <c r="U47" s="3"/>
    </row>
    <row r="48" spans="1:21">
      <c r="A48" s="3" t="s">
        <v>725</v>
      </c>
      <c r="B48" s="61">
        <v>180</v>
      </c>
      <c r="C48" s="3" t="s">
        <v>724</v>
      </c>
      <c r="D48" s="693"/>
      <c r="E48" s="694"/>
      <c r="F48" s="694"/>
      <c r="G48" s="694"/>
      <c r="H48" s="694"/>
      <c r="I48" s="694"/>
      <c r="J48" s="694"/>
      <c r="K48" s="694"/>
      <c r="L48" s="694"/>
      <c r="M48" s="695"/>
      <c r="N48" s="3"/>
      <c r="O48" s="3"/>
      <c r="P48" s="3"/>
      <c r="Q48" s="3"/>
      <c r="R48" s="3"/>
      <c r="S48" s="3"/>
      <c r="T48" s="3"/>
      <c r="U48" s="3"/>
    </row>
    <row r="49" spans="1:21">
      <c r="A49" s="3" t="s">
        <v>726</v>
      </c>
      <c r="B49" s="62">
        <v>0</v>
      </c>
      <c r="C49" s="3" t="s">
        <v>724</v>
      </c>
      <c r="D49" s="693"/>
      <c r="E49" s="694"/>
      <c r="F49" s="694"/>
      <c r="G49" s="694"/>
      <c r="H49" s="694"/>
      <c r="I49" s="694"/>
      <c r="J49" s="694"/>
      <c r="K49" s="694"/>
      <c r="L49" s="694"/>
      <c r="M49" s="695"/>
      <c r="N49" s="3"/>
      <c r="O49" s="3"/>
      <c r="P49" s="3"/>
      <c r="Q49" s="3"/>
      <c r="R49" s="3"/>
      <c r="S49" s="3"/>
      <c r="T49" s="3"/>
      <c r="U49" s="3"/>
    </row>
    <row r="50" spans="1:21">
      <c r="A50" s="3" t="s">
        <v>727</v>
      </c>
      <c r="B50" s="808">
        <f>INDEX(C65:C78,B63,1)</f>
        <v>179.99999</v>
      </c>
      <c r="C50" s="3" t="s">
        <v>724</v>
      </c>
      <c r="D50" s="693"/>
      <c r="E50" s="694"/>
      <c r="F50" s="694"/>
      <c r="G50" s="694"/>
      <c r="H50" s="694"/>
      <c r="I50" s="694"/>
      <c r="J50" s="694"/>
      <c r="K50" s="694"/>
      <c r="L50" s="694"/>
      <c r="M50" s="695"/>
      <c r="N50" s="3"/>
      <c r="O50" s="3"/>
      <c r="P50" s="3"/>
      <c r="Q50" s="3"/>
      <c r="R50" s="3"/>
      <c r="S50" s="3"/>
      <c r="T50" s="3"/>
      <c r="U50" s="3"/>
    </row>
    <row r="51" spans="1:21">
      <c r="A51" s="3" t="s">
        <v>728</v>
      </c>
      <c r="B51" s="15">
        <f xml:space="preserve"> 84.4892*((B45/B42)^1.5)</f>
        <v>636.90013117168326</v>
      </c>
      <c r="C51" s="3" t="s">
        <v>729</v>
      </c>
      <c r="D51" s="693"/>
      <c r="E51" s="694"/>
      <c r="F51" s="694"/>
      <c r="G51" s="694"/>
      <c r="H51" s="694"/>
      <c r="I51" s="694"/>
      <c r="J51" s="694"/>
      <c r="K51" s="694"/>
      <c r="L51" s="694"/>
      <c r="M51" s="695"/>
      <c r="N51" s="3"/>
      <c r="O51" s="3"/>
      <c r="P51" s="3"/>
      <c r="Q51" s="3"/>
      <c r="R51" s="3"/>
      <c r="S51" s="3"/>
      <c r="T51" s="3"/>
      <c r="U51" s="3"/>
    </row>
    <row r="52" spans="1:21">
      <c r="A52" s="3" t="s">
        <v>730</v>
      </c>
      <c r="B52" s="16">
        <f>19.919482*((B42/B45)^3.5)*(1-1.25*((SIN(B47/57.29578))^2))/((1-B46^2)^2)</f>
        <v>0.75424108469762274</v>
      </c>
      <c r="C52" s="3" t="s">
        <v>731</v>
      </c>
      <c r="D52" s="693"/>
      <c r="E52" s="694"/>
      <c r="F52" s="694"/>
      <c r="G52" s="694"/>
      <c r="H52" s="694"/>
      <c r="I52" s="694"/>
      <c r="J52" s="694"/>
      <c r="K52" s="694"/>
      <c r="L52" s="694"/>
      <c r="M52" s="695"/>
      <c r="N52" s="3"/>
      <c r="O52" s="3"/>
      <c r="P52" s="3"/>
      <c r="Q52" s="3"/>
      <c r="R52" s="3"/>
      <c r="S52" s="3"/>
      <c r="T52" s="3"/>
      <c r="U52" s="3"/>
    </row>
    <row r="53" spans="1:21">
      <c r="A53" s="3" t="s">
        <v>732</v>
      </c>
      <c r="B53" s="16">
        <f>(-9.9597408/(1-B46^2)^2)*((B42/B45)^3.5)*COS(B47/57.29578)</f>
        <v>-0.38139010802751916</v>
      </c>
      <c r="C53" s="3" t="s">
        <v>731</v>
      </c>
      <c r="D53" s="693"/>
      <c r="E53" s="694"/>
      <c r="F53" s="694"/>
      <c r="G53" s="694"/>
      <c r="H53" s="694"/>
      <c r="I53" s="694"/>
      <c r="J53" s="694"/>
      <c r="K53" s="694"/>
      <c r="L53" s="694"/>
      <c r="M53" s="695"/>
      <c r="N53" s="3"/>
      <c r="O53" s="3"/>
      <c r="P53" s="3"/>
      <c r="Q53" s="3"/>
      <c r="R53" s="3"/>
      <c r="S53" s="3"/>
      <c r="T53" s="3"/>
      <c r="U53" s="3"/>
    </row>
    <row r="54" spans="1:21">
      <c r="A54" s="3"/>
      <c r="B54" s="17"/>
      <c r="C54" s="3"/>
      <c r="D54" s="693"/>
      <c r="E54" s="694"/>
      <c r="F54" s="694"/>
      <c r="G54" s="694"/>
      <c r="H54" s="694"/>
      <c r="I54" s="694"/>
      <c r="J54" s="694"/>
      <c r="K54" s="694"/>
      <c r="L54" s="694"/>
      <c r="M54" s="695"/>
      <c r="N54" s="3"/>
      <c r="O54" s="3"/>
      <c r="P54" s="3"/>
      <c r="Q54" s="3"/>
      <c r="R54" s="3"/>
      <c r="S54" s="3"/>
      <c r="T54" s="3"/>
      <c r="U54" s="3"/>
    </row>
    <row r="55" spans="1:21">
      <c r="A55" s="3"/>
      <c r="B55" s="17" t="s">
        <v>715</v>
      </c>
      <c r="C55" s="3"/>
      <c r="D55" s="693"/>
      <c r="E55" s="694"/>
      <c r="F55" s="694"/>
      <c r="G55" s="694"/>
      <c r="H55" s="694"/>
      <c r="I55" s="694"/>
      <c r="J55" s="694"/>
      <c r="K55" s="694"/>
      <c r="L55" s="694"/>
      <c r="M55" s="695"/>
      <c r="N55" s="3"/>
      <c r="O55" s="3"/>
      <c r="P55" s="3"/>
      <c r="Q55" s="3"/>
      <c r="R55" s="3"/>
      <c r="S55" s="3"/>
      <c r="T55" s="3"/>
      <c r="U55" s="3"/>
    </row>
    <row r="56" spans="1:21">
      <c r="A56" s="3"/>
      <c r="B56" s="17"/>
      <c r="C56" s="3"/>
      <c r="D56" s="693"/>
      <c r="E56" s="694"/>
      <c r="F56" s="694"/>
      <c r="G56" s="694"/>
      <c r="H56" s="694"/>
      <c r="I56" s="694"/>
      <c r="J56" s="694"/>
      <c r="K56" s="694"/>
      <c r="L56" s="694"/>
      <c r="M56" s="695"/>
      <c r="N56" s="3"/>
      <c r="O56" s="3"/>
      <c r="P56" s="3"/>
      <c r="Q56" s="3"/>
      <c r="R56" s="3"/>
      <c r="S56" s="3"/>
      <c r="T56" s="3"/>
      <c r="U56" s="3"/>
    </row>
    <row r="57" spans="1:21">
      <c r="A57" s="3"/>
      <c r="B57" s="17"/>
      <c r="C57" s="3"/>
      <c r="D57" s="693"/>
      <c r="E57" s="694"/>
      <c r="F57" s="694"/>
      <c r="G57" s="694"/>
      <c r="H57" s="694"/>
      <c r="I57" s="694"/>
      <c r="J57" s="694"/>
      <c r="K57" s="694"/>
      <c r="L57" s="694"/>
      <c r="M57" s="695"/>
      <c r="N57" s="3"/>
      <c r="O57" s="3"/>
      <c r="P57" s="3"/>
      <c r="Q57" s="3"/>
      <c r="R57" s="3"/>
      <c r="S57" s="3"/>
      <c r="T57" s="3"/>
      <c r="U57" s="3"/>
    </row>
    <row r="58" spans="1:21" ht="13">
      <c r="A58" s="3"/>
      <c r="B58" s="17"/>
      <c r="C58" s="817" t="s">
        <v>522</v>
      </c>
      <c r="D58" s="693"/>
      <c r="E58" s="694"/>
      <c r="F58" s="694"/>
      <c r="G58" s="694"/>
      <c r="H58" s="694"/>
      <c r="I58" s="694"/>
      <c r="J58" s="694"/>
      <c r="K58" s="694"/>
      <c r="L58" s="694"/>
      <c r="M58" s="695"/>
      <c r="N58" s="3"/>
      <c r="O58" s="3"/>
      <c r="P58" s="3"/>
      <c r="Q58" s="3"/>
      <c r="R58" s="3"/>
      <c r="S58" s="3"/>
      <c r="T58" s="3"/>
      <c r="U58" s="3"/>
    </row>
    <row r="59" spans="1:21" ht="13">
      <c r="A59" s="3"/>
      <c r="B59" s="17"/>
      <c r="C59" s="817" t="s">
        <v>655</v>
      </c>
      <c r="D59" s="693"/>
      <c r="E59" s="694"/>
      <c r="F59" s="694"/>
      <c r="G59" s="694"/>
      <c r="H59" s="694"/>
      <c r="I59" s="694"/>
      <c r="J59" s="694"/>
      <c r="K59" s="694"/>
      <c r="L59" s="696"/>
      <c r="M59" s="695"/>
      <c r="N59" s="3"/>
      <c r="O59" s="3"/>
      <c r="P59" s="3"/>
      <c r="Q59" s="3"/>
      <c r="R59" s="3"/>
      <c r="S59" s="3"/>
      <c r="T59" s="3"/>
      <c r="U59" s="3"/>
    </row>
    <row r="60" spans="1:21" ht="13">
      <c r="A60" s="3"/>
      <c r="B60" s="17"/>
      <c r="C60" s="817" t="s">
        <v>656</v>
      </c>
      <c r="D60" s="693"/>
      <c r="E60" s="694"/>
      <c r="F60" s="694"/>
      <c r="G60" s="694"/>
      <c r="H60" s="694"/>
      <c r="I60" s="694"/>
      <c r="J60" s="694"/>
      <c r="K60" s="694"/>
      <c r="L60" s="694"/>
      <c r="M60" s="695"/>
      <c r="N60" s="3"/>
      <c r="O60" s="3"/>
      <c r="P60" s="3"/>
      <c r="Q60" s="3"/>
      <c r="R60" s="3"/>
      <c r="S60" s="3"/>
      <c r="T60" s="3"/>
      <c r="U60" s="3"/>
    </row>
    <row r="61" spans="1:21" ht="13" thickBot="1">
      <c r="A61" s="3"/>
      <c r="B61" s="17"/>
      <c r="C61" s="3"/>
      <c r="D61" s="731"/>
      <c r="E61" s="697"/>
      <c r="F61" s="697"/>
      <c r="G61" s="697"/>
      <c r="H61" s="697"/>
      <c r="I61" s="697"/>
      <c r="J61" s="697"/>
      <c r="K61" s="697"/>
      <c r="L61" s="697"/>
      <c r="M61" s="698"/>
      <c r="N61" s="3"/>
      <c r="O61" s="3"/>
      <c r="P61" s="3"/>
      <c r="Q61" s="3"/>
      <c r="R61" s="3"/>
      <c r="S61" s="3"/>
      <c r="T61" s="3"/>
      <c r="U61" s="3"/>
    </row>
    <row r="62" spans="1:21" ht="13" thickBot="1">
      <c r="A62" s="3"/>
      <c r="B62" s="17"/>
      <c r="C62" s="3"/>
      <c r="D62" s="101"/>
      <c r="E62" s="101"/>
      <c r="F62" s="101"/>
      <c r="G62" s="101"/>
      <c r="H62" s="101"/>
      <c r="I62" s="101"/>
      <c r="J62" s="101"/>
      <c r="K62" s="101"/>
      <c r="L62" s="101"/>
      <c r="M62" s="101"/>
      <c r="N62" s="3"/>
      <c r="O62" s="3"/>
      <c r="P62" s="3"/>
      <c r="Q62" s="3"/>
      <c r="R62" s="3"/>
      <c r="S62" s="3"/>
      <c r="T62" s="3"/>
      <c r="U62" s="3"/>
    </row>
    <row r="63" spans="1:21" ht="13.5" thickBot="1">
      <c r="A63" s="699" t="s">
        <v>481</v>
      </c>
      <c r="B63" s="806">
        <v>13</v>
      </c>
      <c r="C63" s="700">
        <f>INDEX(D65:D78,B63,1)</f>
        <v>35785.99999999781</v>
      </c>
      <c r="D63" s="701" t="s">
        <v>482</v>
      </c>
      <c r="E63" s="3"/>
      <c r="F63" s="745" t="s">
        <v>2</v>
      </c>
      <c r="G63" s="740">
        <v>5</v>
      </c>
      <c r="H63" s="94" t="s">
        <v>4</v>
      </c>
      <c r="I63" s="746" t="s">
        <v>528</v>
      </c>
      <c r="J63" s="3"/>
      <c r="K63" s="778">
        <f>B90*(((((C63+B90)^2/B90^2)-(COS(G63/57.2958))^2)^0.5)-SIN(G63/57.2958))</f>
        <v>41126.753187550428</v>
      </c>
      <c r="L63" s="221" t="s">
        <v>720</v>
      </c>
      <c r="M63" s="3"/>
      <c r="N63" s="3"/>
      <c r="O63" s="3"/>
      <c r="P63" s="3"/>
      <c r="Q63" s="3"/>
      <c r="R63" s="3"/>
      <c r="S63" s="3"/>
      <c r="T63" s="3"/>
      <c r="U63" s="3"/>
    </row>
    <row r="64" spans="1:21" ht="13">
      <c r="A64" s="743" t="s">
        <v>483</v>
      </c>
      <c r="B64" s="743" t="s">
        <v>484</v>
      </c>
      <c r="C64" s="743" t="s">
        <v>485</v>
      </c>
      <c r="D64" s="743" t="s">
        <v>486</v>
      </c>
      <c r="E64" s="744" t="s">
        <v>487</v>
      </c>
      <c r="F64" s="3"/>
      <c r="G64" s="744" t="s">
        <v>488</v>
      </c>
      <c r="H64" s="3"/>
      <c r="I64" s="3"/>
      <c r="J64" s="3"/>
      <c r="K64" s="3"/>
      <c r="L64" s="3"/>
      <c r="M64" s="3"/>
      <c r="N64" s="3"/>
      <c r="O64" s="3"/>
      <c r="P64" s="3"/>
      <c r="Q64" s="3"/>
      <c r="R64" s="3"/>
      <c r="S64" s="3"/>
      <c r="T64" s="3"/>
      <c r="U64" s="3"/>
    </row>
    <row r="65" spans="1:21">
      <c r="A65" s="214">
        <v>1</v>
      </c>
      <c r="B65" s="702">
        <f>(B45*(1-(B46)^2))/(1+B46*COS(C65/57.29578))</f>
        <v>6878.1370000000024</v>
      </c>
      <c r="C65" s="703">
        <v>0</v>
      </c>
      <c r="D65" s="704">
        <f>B65-B42</f>
        <v>500.00000000000273</v>
      </c>
      <c r="E65" s="64">
        <f t="shared" ref="E65:E75" si="0">180-C65</f>
        <v>180</v>
      </c>
      <c r="F65" s="23" t="s">
        <v>12</v>
      </c>
      <c r="G65" s="705">
        <v>35</v>
      </c>
      <c r="H65" s="23" t="s">
        <v>715</v>
      </c>
      <c r="I65" s="23"/>
      <c r="J65" s="23"/>
      <c r="K65" s="23"/>
      <c r="L65" s="23"/>
      <c r="M65" s="23"/>
      <c r="N65" s="3"/>
      <c r="O65" s="3"/>
      <c r="P65" s="3"/>
      <c r="Q65" s="3"/>
      <c r="R65" s="3"/>
      <c r="S65" s="3"/>
      <c r="T65" s="3"/>
      <c r="U65" s="3"/>
    </row>
    <row r="66" spans="1:21" ht="13" thickBot="1">
      <c r="A66" s="214">
        <v>2</v>
      </c>
      <c r="B66" s="702">
        <f>(B45*(1-(B46)^2))/(1+B46*COS(C66/57.29578))</f>
        <v>6977.6230175021201</v>
      </c>
      <c r="C66" s="214">
        <v>15</v>
      </c>
      <c r="D66" s="704">
        <f>B66-B42</f>
        <v>599.48601750212038</v>
      </c>
      <c r="E66" s="64">
        <f t="shared" si="0"/>
        <v>165</v>
      </c>
      <c r="F66" s="23" t="s">
        <v>12</v>
      </c>
      <c r="G66" s="705">
        <v>35</v>
      </c>
      <c r="H66" s="23"/>
      <c r="I66" s="23"/>
      <c r="J66" s="23"/>
      <c r="K66" s="23"/>
      <c r="L66" s="23"/>
      <c r="M66" s="23"/>
      <c r="N66" s="3"/>
      <c r="O66" s="3"/>
      <c r="P66" s="3"/>
      <c r="Q66" s="3"/>
      <c r="R66" s="3"/>
      <c r="S66" s="3"/>
      <c r="T66" s="3"/>
      <c r="U66" s="3"/>
    </row>
    <row r="67" spans="1:21" ht="13" thickBot="1">
      <c r="A67" s="214">
        <v>3</v>
      </c>
      <c r="B67" s="702">
        <f>(B45*(1-(B46)^2))/(1+B46*COS(C67/57.29578))</f>
        <v>7286.6237888209216</v>
      </c>
      <c r="C67" s="214">
        <v>30</v>
      </c>
      <c r="D67" s="704">
        <f>B67-B42</f>
        <v>908.4867888209219</v>
      </c>
      <c r="E67" s="64">
        <f t="shared" si="0"/>
        <v>150</v>
      </c>
      <c r="F67" s="23" t="s">
        <v>12</v>
      </c>
      <c r="G67" s="705">
        <v>35</v>
      </c>
      <c r="H67" s="706"/>
      <c r="I67" s="707" t="s">
        <v>426</v>
      </c>
      <c r="J67" s="707"/>
      <c r="K67" s="707"/>
      <c r="L67" s="708"/>
      <c r="M67" s="23"/>
      <c r="N67" s="3"/>
      <c r="O67" s="3"/>
      <c r="P67" s="3"/>
      <c r="Q67" s="3"/>
      <c r="R67" s="3"/>
      <c r="S67" s="3"/>
      <c r="T67" s="3"/>
      <c r="U67" s="3"/>
    </row>
    <row r="68" spans="1:21" ht="13" thickBot="1">
      <c r="A68" s="214">
        <v>4</v>
      </c>
      <c r="B68" s="702">
        <f>(B45*(1-(B46)^2))/(1+B46*COS(C68/57.29578))</f>
        <v>7838.8429783306747</v>
      </c>
      <c r="C68" s="214">
        <v>45</v>
      </c>
      <c r="D68" s="704">
        <f>B68-B42</f>
        <v>1460.705978330675</v>
      </c>
      <c r="E68" s="64">
        <f t="shared" si="0"/>
        <v>135</v>
      </c>
      <c r="F68" s="23" t="s">
        <v>12</v>
      </c>
      <c r="G68" s="705">
        <v>35</v>
      </c>
      <c r="H68" s="820" t="s">
        <v>878</v>
      </c>
      <c r="I68" s="24"/>
      <c r="J68" s="393"/>
      <c r="K68" s="709">
        <f>2*((ASIN(B42/(B42+C63)))*57.2958)</f>
        <v>17.400982397943942</v>
      </c>
      <c r="L68" s="823" t="s">
        <v>4</v>
      </c>
      <c r="M68" s="23"/>
      <c r="N68" s="3"/>
      <c r="O68" s="3"/>
      <c r="P68" s="3"/>
      <c r="Q68" s="3"/>
      <c r="R68" s="3"/>
      <c r="S68" s="3"/>
      <c r="T68" s="3"/>
      <c r="U68" s="3"/>
    </row>
    <row r="69" spans="1:21" ht="13" thickBot="1">
      <c r="A69" s="214">
        <v>5</v>
      </c>
      <c r="B69" s="702">
        <f>(B45*(1-(B46)^2))/(1+B46*COS(C69/57.29578))</f>
        <v>8697.8936186138471</v>
      </c>
      <c r="C69" s="214">
        <v>60</v>
      </c>
      <c r="D69" s="704">
        <f>B69-B42</f>
        <v>2319.7566186138474</v>
      </c>
      <c r="E69" s="64">
        <f t="shared" si="0"/>
        <v>120</v>
      </c>
      <c r="F69" s="23" t="s">
        <v>12</v>
      </c>
      <c r="G69" s="705">
        <v>35</v>
      </c>
      <c r="H69" s="821" t="s">
        <v>879</v>
      </c>
      <c r="I69" s="24"/>
      <c r="J69" s="393"/>
      <c r="K69" s="822">
        <v>10</v>
      </c>
      <c r="L69" s="824" t="s">
        <v>4</v>
      </c>
      <c r="M69" s="23"/>
      <c r="N69" s="3"/>
      <c r="O69" s="3"/>
      <c r="P69" s="3"/>
      <c r="Q69" s="3"/>
      <c r="R69" s="3"/>
      <c r="S69" s="3"/>
      <c r="T69" s="3"/>
      <c r="U69" s="3"/>
    </row>
    <row r="70" spans="1:21" ht="13" thickBot="1">
      <c r="A70" s="214">
        <v>6</v>
      </c>
      <c r="B70" s="702">
        <f>(B45*(1-(B46)^2))/(1+B46*COS(C70/57.29578))</f>
        <v>9970.292881925574</v>
      </c>
      <c r="C70" s="214">
        <v>75</v>
      </c>
      <c r="D70" s="704">
        <f>B70-B42</f>
        <v>3592.1558819255742</v>
      </c>
      <c r="E70" s="64">
        <f t="shared" si="0"/>
        <v>105</v>
      </c>
      <c r="F70" s="23" t="s">
        <v>12</v>
      </c>
      <c r="G70" s="705">
        <v>35</v>
      </c>
      <c r="H70" s="249" t="s">
        <v>489</v>
      </c>
      <c r="I70" s="24"/>
      <c r="J70" s="393"/>
      <c r="K70" s="709">
        <f>K68/2+K69</f>
        <v>18.700491198971971</v>
      </c>
      <c r="L70" s="823" t="s">
        <v>4</v>
      </c>
      <c r="M70" s="23"/>
      <c r="N70" s="3"/>
      <c r="O70" s="3"/>
      <c r="P70" s="3"/>
      <c r="Q70" s="3"/>
      <c r="R70" s="3"/>
      <c r="S70" s="3"/>
      <c r="T70" s="3"/>
      <c r="U70" s="3"/>
    </row>
    <row r="71" spans="1:21" ht="13" thickBot="1">
      <c r="A71" s="214">
        <v>7</v>
      </c>
      <c r="B71" s="702">
        <f>(B45*(1-(B46)^2))/(1+B46*COS(C71/57.29578))</f>
        <v>11826.968218777867</v>
      </c>
      <c r="C71" s="214">
        <v>90</v>
      </c>
      <c r="D71" s="704">
        <f>B71-B42</f>
        <v>5448.8312187778674</v>
      </c>
      <c r="E71" s="64">
        <f t="shared" si="0"/>
        <v>90</v>
      </c>
      <c r="F71" s="23" t="s">
        <v>12</v>
      </c>
      <c r="G71" s="705">
        <v>35</v>
      </c>
      <c r="H71" s="249" t="s">
        <v>490</v>
      </c>
      <c r="I71" s="24"/>
      <c r="J71" s="393"/>
      <c r="K71" s="711">
        <f>'Antenna Pointing Losses'!K63</f>
        <v>0.3</v>
      </c>
      <c r="L71" s="710" t="s">
        <v>757</v>
      </c>
      <c r="M71" s="23"/>
      <c r="N71" s="3"/>
      <c r="O71" s="3"/>
      <c r="P71" s="3"/>
      <c r="Q71" s="3"/>
      <c r="R71" s="3"/>
      <c r="S71" s="3"/>
      <c r="T71" s="3"/>
      <c r="U71" s="3"/>
    </row>
    <row r="72" spans="1:21" ht="13" thickBot="1">
      <c r="A72" s="214">
        <v>8</v>
      </c>
      <c r="B72" s="702">
        <f>(B45*(1-(B46)^2))/(1+B46*COS(C72/57.29578))</f>
        <v>14533.386185165687</v>
      </c>
      <c r="C72" s="214">
        <v>105</v>
      </c>
      <c r="D72" s="704">
        <f>B72-B42</f>
        <v>8155.2491851656878</v>
      </c>
      <c r="E72" s="64">
        <f t="shared" si="0"/>
        <v>75</v>
      </c>
      <c r="F72" s="23" t="s">
        <v>12</v>
      </c>
      <c r="G72" s="705">
        <v>35</v>
      </c>
      <c r="H72" s="249" t="s">
        <v>491</v>
      </c>
      <c r="I72" s="24"/>
      <c r="J72" s="393"/>
      <c r="K72" s="711">
        <f>'Antenna Pointing Losses'!K85</f>
        <v>0.3</v>
      </c>
      <c r="L72" s="710" t="s">
        <v>757</v>
      </c>
      <c r="M72" s="23"/>
      <c r="N72" s="3"/>
      <c r="O72" s="3"/>
      <c r="P72" s="3"/>
      <c r="Q72" s="3"/>
      <c r="R72" s="3"/>
      <c r="S72" s="3"/>
      <c r="T72" s="3"/>
      <c r="U72" s="3"/>
    </row>
    <row r="73" spans="1:21" ht="13" thickBot="1">
      <c r="A73" s="214">
        <v>9</v>
      </c>
      <c r="B73" s="702">
        <f>(B45*(1-(B46)^2))/(1+B46*COS(C73/57.29578))</f>
        <v>18472.446576256712</v>
      </c>
      <c r="C73" s="214">
        <v>120</v>
      </c>
      <c r="D73" s="704">
        <f>B73-B42</f>
        <v>12094.309576256714</v>
      </c>
      <c r="E73" s="64">
        <f t="shared" si="0"/>
        <v>60</v>
      </c>
      <c r="F73" s="23" t="s">
        <v>12</v>
      </c>
      <c r="G73" s="705">
        <v>35</v>
      </c>
      <c r="H73" s="249" t="s">
        <v>425</v>
      </c>
      <c r="I73" s="24"/>
      <c r="J73" s="393"/>
      <c r="K73" s="709">
        <f>'Downlink Budget'!B30</f>
        <v>19.347076232760543</v>
      </c>
      <c r="L73" s="710" t="s">
        <v>757</v>
      </c>
      <c r="M73" s="23"/>
      <c r="N73" s="3"/>
      <c r="O73" s="3"/>
      <c r="P73" s="3"/>
      <c r="Q73" s="3"/>
      <c r="R73" s="3"/>
      <c r="S73" s="3"/>
      <c r="T73" s="3"/>
      <c r="U73" s="3"/>
    </row>
    <row r="74" spans="1:21" ht="13" thickBot="1">
      <c r="A74" s="214">
        <v>10</v>
      </c>
      <c r="B74" s="702">
        <f>(B45*(1-(B46)^2))/(1+B46*COS(C74/57.29578))</f>
        <v>24075.965611934313</v>
      </c>
      <c r="C74" s="214">
        <v>135</v>
      </c>
      <c r="D74" s="704">
        <f>B74-B42</f>
        <v>17697.828611934314</v>
      </c>
      <c r="E74" s="64">
        <f t="shared" si="0"/>
        <v>45</v>
      </c>
      <c r="F74" s="23" t="s">
        <v>12</v>
      </c>
      <c r="G74" s="705">
        <v>40</v>
      </c>
      <c r="H74" s="556" t="s">
        <v>880</v>
      </c>
      <c r="I74" s="127"/>
      <c r="J74" s="291"/>
      <c r="K74" s="825">
        <f>'Uplink Budget'!B30</f>
        <v>20.475509637384334</v>
      </c>
      <c r="L74" s="712" t="s">
        <v>757</v>
      </c>
      <c r="M74" s="23"/>
      <c r="N74" s="3"/>
      <c r="O74" s="3"/>
      <c r="P74" s="3"/>
      <c r="Q74" s="3"/>
      <c r="R74" s="3"/>
      <c r="S74" s="3"/>
      <c r="T74" s="3"/>
      <c r="U74" s="3"/>
    </row>
    <row r="75" spans="1:21">
      <c r="A75" s="214">
        <v>11</v>
      </c>
      <c r="B75" s="702">
        <f>(B45*(1-(B46)^2))/(1+B46*COS(C75/57.29578))</f>
        <v>31380.154349772623</v>
      </c>
      <c r="C75" s="214">
        <v>150</v>
      </c>
      <c r="D75" s="704">
        <f>B75-B42</f>
        <v>25002.017349772625</v>
      </c>
      <c r="E75" s="64">
        <f t="shared" si="0"/>
        <v>30</v>
      </c>
      <c r="F75" s="23" t="s">
        <v>12</v>
      </c>
      <c r="G75" s="705">
        <v>50</v>
      </c>
      <c r="H75" s="23"/>
      <c r="I75" s="23"/>
      <c r="J75" s="23"/>
      <c r="K75" s="23"/>
      <c r="L75" s="23"/>
      <c r="M75" s="23"/>
      <c r="N75" s="3"/>
      <c r="O75" s="3"/>
      <c r="P75" s="3"/>
      <c r="Q75" s="3"/>
      <c r="R75" s="3"/>
      <c r="S75" s="3"/>
      <c r="T75" s="3"/>
      <c r="U75" s="3"/>
    </row>
    <row r="76" spans="1:21">
      <c r="A76" s="214">
        <v>12</v>
      </c>
      <c r="B76" s="702">
        <f>(B45*(1-(B46)^2))/(1+B46*COS(C76/57.29578))</f>
        <v>38775.073861854115</v>
      </c>
      <c r="C76" s="214">
        <v>165</v>
      </c>
      <c r="D76" s="704">
        <f>B76-B42</f>
        <v>32396.936861854116</v>
      </c>
      <c r="E76" s="64">
        <f>180-C76</f>
        <v>15</v>
      </c>
      <c r="F76" s="23" t="s">
        <v>12</v>
      </c>
      <c r="G76" s="705">
        <v>90</v>
      </c>
      <c r="H76" s="23"/>
      <c r="I76" s="23"/>
      <c r="J76" s="23"/>
      <c r="K76" s="23"/>
      <c r="L76" s="23"/>
      <c r="M76" s="23"/>
      <c r="N76" s="3"/>
      <c r="O76" s="3"/>
      <c r="P76" s="3"/>
      <c r="Q76" s="3"/>
      <c r="R76" s="3"/>
      <c r="S76" s="3"/>
      <c r="T76" s="3"/>
      <c r="U76" s="3"/>
    </row>
    <row r="77" spans="1:21">
      <c r="A77" s="214">
        <v>13</v>
      </c>
      <c r="B77" s="702">
        <f>(B45*(1-(B46)^2))/(1+B46*COS(C77/57.29578))</f>
        <v>42164.136999997812</v>
      </c>
      <c r="C77" s="703">
        <v>179.99999</v>
      </c>
      <c r="D77" s="704">
        <f>B77-B42</f>
        <v>35785.99999999781</v>
      </c>
      <c r="E77" s="64">
        <f>180-C77</f>
        <v>1.0000000003174137E-5</v>
      </c>
      <c r="F77" s="23" t="s">
        <v>12</v>
      </c>
      <c r="G77" s="705">
        <v>170</v>
      </c>
      <c r="H77" s="23"/>
      <c r="I77" s="23"/>
      <c r="J77" s="23"/>
      <c r="K77" s="23"/>
      <c r="L77" s="23"/>
      <c r="M77" s="23"/>
      <c r="N77" s="3"/>
      <c r="O77" s="3"/>
      <c r="P77" s="3"/>
      <c r="Q77" s="3"/>
      <c r="R77" s="3"/>
      <c r="S77" s="3"/>
      <c r="T77" s="3"/>
      <c r="U77" s="3"/>
    </row>
    <row r="78" spans="1:21">
      <c r="A78" s="713">
        <v>14</v>
      </c>
      <c r="B78" s="714">
        <f>(B45*(1-(B46)^2))/(1+B46*COS(C78/57.29578))</f>
        <v>41756.554391673679</v>
      </c>
      <c r="C78" s="715">
        <v>175</v>
      </c>
      <c r="D78" s="716">
        <f>B78-B42</f>
        <v>35378.417391673676</v>
      </c>
      <c r="E78" s="717">
        <f>180-C78</f>
        <v>5</v>
      </c>
      <c r="F78" s="545" t="s">
        <v>12</v>
      </c>
      <c r="G78" s="718">
        <v>160</v>
      </c>
      <c r="H78" s="545"/>
      <c r="I78" s="719" t="s">
        <v>492</v>
      </c>
      <c r="J78" s="545"/>
      <c r="K78" s="545"/>
      <c r="L78" s="545"/>
      <c r="M78" s="366"/>
      <c r="N78" s="3"/>
      <c r="O78" s="3"/>
      <c r="P78" s="3"/>
      <c r="Q78" s="3"/>
      <c r="R78" s="3"/>
      <c r="S78" s="3"/>
      <c r="T78" s="3"/>
      <c r="U78" s="3"/>
    </row>
    <row r="79" spans="1:21">
      <c r="A79" s="3"/>
      <c r="B79" s="3" t="s">
        <v>715</v>
      </c>
      <c r="C79" s="3"/>
      <c r="D79" s="3"/>
      <c r="E79" s="3" t="s">
        <v>715</v>
      </c>
      <c r="F79" s="3"/>
      <c r="G79" s="3"/>
      <c r="H79" s="3"/>
      <c r="I79" s="3"/>
      <c r="J79" s="3"/>
      <c r="K79" s="3"/>
      <c r="L79" s="3"/>
      <c r="M79" s="3"/>
      <c r="N79" s="3"/>
      <c r="O79" s="3"/>
      <c r="P79" s="3"/>
      <c r="Q79" s="3"/>
      <c r="R79" s="3"/>
      <c r="S79" s="3"/>
      <c r="T79" s="3"/>
      <c r="U79" s="3"/>
    </row>
    <row r="80" spans="1:21">
      <c r="A80" s="3"/>
      <c r="B80" s="3"/>
      <c r="C80" s="3"/>
      <c r="D80" s="3"/>
      <c r="E80" s="3"/>
      <c r="F80" s="3"/>
      <c r="G80" s="3"/>
      <c r="H80" s="3"/>
      <c r="I80" s="3"/>
      <c r="J80" s="3"/>
      <c r="K80" s="3"/>
      <c r="L80" s="3"/>
      <c r="M80" s="3"/>
      <c r="N80" s="3"/>
      <c r="O80" s="3"/>
      <c r="P80" s="3"/>
      <c r="Q80" s="3"/>
      <c r="R80" s="3"/>
      <c r="S80" s="3"/>
      <c r="T80" s="3"/>
      <c r="U80" s="3"/>
    </row>
    <row r="81" spans="1:21">
      <c r="A81" s="3"/>
      <c r="B81" s="3"/>
      <c r="C81" s="3"/>
      <c r="D81" s="3"/>
      <c r="E81" s="3"/>
      <c r="F81" s="3"/>
      <c r="G81" s="3"/>
      <c r="H81" s="3"/>
      <c r="I81" s="3"/>
      <c r="J81" s="3"/>
      <c r="K81" s="3"/>
      <c r="L81" s="3"/>
      <c r="M81" s="3"/>
      <c r="N81" s="3"/>
      <c r="O81" s="3"/>
      <c r="P81" s="3"/>
      <c r="Q81" s="3"/>
      <c r="R81" s="3"/>
      <c r="S81" s="3"/>
      <c r="T81" s="3"/>
      <c r="U81" s="3"/>
    </row>
    <row r="82" spans="1:21">
      <c r="A82" s="3"/>
      <c r="B82" s="3"/>
      <c r="C82" s="3"/>
      <c r="D82" s="3"/>
      <c r="E82" s="3"/>
      <c r="F82" s="3"/>
      <c r="G82" s="3"/>
      <c r="H82" s="3"/>
      <c r="I82" s="3"/>
      <c r="J82" s="3"/>
      <c r="K82" s="3"/>
      <c r="L82" s="3"/>
      <c r="M82" s="3"/>
      <c r="N82" s="3"/>
      <c r="O82" s="3"/>
      <c r="P82" s="3"/>
      <c r="Q82" s="3"/>
      <c r="R82" s="3"/>
      <c r="S82" s="3"/>
      <c r="T82" s="3"/>
      <c r="U82" s="3"/>
    </row>
    <row r="83" spans="1:21">
      <c r="A83" s="3"/>
      <c r="B83" s="3"/>
      <c r="C83" s="3"/>
      <c r="D83" s="3"/>
      <c r="E83" s="3"/>
      <c r="F83" s="3"/>
      <c r="G83" s="3"/>
      <c r="H83" s="3"/>
      <c r="I83" s="3"/>
      <c r="J83" s="3"/>
      <c r="K83" s="3"/>
      <c r="L83" s="3"/>
      <c r="M83" s="3"/>
      <c r="N83" s="3"/>
      <c r="O83" s="3"/>
      <c r="P83" s="3"/>
      <c r="Q83" s="3"/>
      <c r="R83" s="3"/>
      <c r="S83" s="3"/>
      <c r="T83" s="3"/>
      <c r="U83" s="3"/>
    </row>
    <row r="84" spans="1:21" ht="13" thickBot="1">
      <c r="A84" s="112"/>
      <c r="B84" s="112"/>
      <c r="C84" s="112"/>
      <c r="D84" s="112"/>
      <c r="E84" s="112"/>
      <c r="F84" s="112"/>
      <c r="G84" s="112"/>
      <c r="H84" s="112"/>
      <c r="I84" s="112"/>
      <c r="J84" s="112"/>
      <c r="K84" s="112"/>
      <c r="L84" s="112"/>
      <c r="M84" s="112"/>
      <c r="N84" s="112"/>
      <c r="O84" s="112"/>
      <c r="P84" s="112"/>
      <c r="Q84" s="112"/>
      <c r="R84" s="112"/>
      <c r="S84" s="112"/>
      <c r="T84" s="112"/>
      <c r="U84" s="112"/>
    </row>
    <row r="85" spans="1:21" ht="15.5">
      <c r="A85" s="802" t="s">
        <v>519</v>
      </c>
      <c r="B85" s="23"/>
      <c r="C85" s="23"/>
      <c r="D85" s="783" t="s">
        <v>140</v>
      </c>
      <c r="E85" s="23"/>
      <c r="F85" s="23"/>
      <c r="G85" s="23"/>
      <c r="H85" s="23"/>
      <c r="I85" s="23"/>
      <c r="J85" s="23"/>
      <c r="K85" s="23"/>
      <c r="L85" s="23"/>
      <c r="M85" s="23"/>
      <c r="N85" s="23"/>
      <c r="O85" s="23"/>
      <c r="P85" s="23"/>
      <c r="Q85" s="23"/>
      <c r="R85" s="23"/>
      <c r="S85" s="23"/>
      <c r="T85" s="23"/>
      <c r="U85" s="23"/>
    </row>
    <row r="86" spans="1:21">
      <c r="A86" s="3"/>
      <c r="B86" s="3"/>
      <c r="C86" s="3"/>
      <c r="D86" s="3"/>
      <c r="E86" s="3"/>
      <c r="F86" s="3"/>
      <c r="G86" s="3"/>
      <c r="H86" s="3"/>
      <c r="I86" s="3"/>
      <c r="J86" s="3"/>
      <c r="K86" s="3"/>
      <c r="L86" s="3"/>
      <c r="M86" s="3"/>
      <c r="N86" s="3"/>
      <c r="O86" s="3"/>
      <c r="P86" s="3"/>
      <c r="Q86" s="3"/>
      <c r="R86" s="3"/>
      <c r="S86" s="3"/>
      <c r="T86" s="3"/>
      <c r="U86" s="3"/>
    </row>
    <row r="87" spans="1:21" ht="13">
      <c r="A87" s="4" t="s">
        <v>509</v>
      </c>
      <c r="B87" s="3"/>
      <c r="C87" s="3"/>
      <c r="D87" s="3"/>
      <c r="E87" s="3"/>
      <c r="F87" s="3"/>
      <c r="G87" s="3"/>
      <c r="H87" s="3"/>
      <c r="I87" s="3"/>
      <c r="J87" s="3"/>
      <c r="K87" s="3"/>
      <c r="L87" s="3"/>
      <c r="M87" s="3"/>
      <c r="N87" s="3"/>
      <c r="O87" s="3"/>
      <c r="P87" s="3"/>
      <c r="Q87" s="3"/>
      <c r="R87" s="3"/>
      <c r="S87" s="3"/>
      <c r="T87" s="3"/>
      <c r="U87" s="3"/>
    </row>
    <row r="88" spans="1:21" ht="13">
      <c r="A88" s="723" t="s">
        <v>716</v>
      </c>
      <c r="B88" s="724" t="s">
        <v>717</v>
      </c>
      <c r="C88" s="723" t="s">
        <v>718</v>
      </c>
      <c r="D88" s="730" t="s">
        <v>496</v>
      </c>
      <c r="E88" s="3"/>
      <c r="F88" s="3"/>
      <c r="G88" s="3"/>
      <c r="H88" s="3"/>
      <c r="I88" s="3"/>
      <c r="J88" s="3"/>
      <c r="K88" s="3"/>
      <c r="L88" s="3"/>
      <c r="M88" s="3"/>
      <c r="N88" s="3"/>
      <c r="O88" s="3"/>
      <c r="P88" s="3"/>
      <c r="Q88" s="3"/>
      <c r="R88" s="3"/>
      <c r="S88" s="3"/>
      <c r="T88" s="3"/>
      <c r="U88" s="3"/>
    </row>
    <row r="89" spans="1:21" ht="17.25" customHeight="1">
      <c r="A89" s="725" t="s">
        <v>501</v>
      </c>
      <c r="B89" s="726">
        <f>B91-B90</f>
        <v>35786.018697888401</v>
      </c>
      <c r="C89" s="725" t="s">
        <v>720</v>
      </c>
      <c r="D89" s="729" t="s">
        <v>502</v>
      </c>
      <c r="E89" s="3"/>
      <c r="F89" s="3"/>
      <c r="G89" s="3"/>
      <c r="H89" s="3"/>
      <c r="I89" s="3"/>
      <c r="J89" s="3"/>
      <c r="K89" s="3"/>
      <c r="L89" s="3"/>
      <c r="M89" s="3"/>
      <c r="N89" s="3"/>
      <c r="O89" s="3"/>
      <c r="P89" s="3"/>
      <c r="Q89" s="3"/>
      <c r="R89" s="3"/>
      <c r="S89" s="3"/>
      <c r="T89" s="3"/>
      <c r="U89" s="3"/>
    </row>
    <row r="90" spans="1:21">
      <c r="A90" s="725" t="s">
        <v>503</v>
      </c>
      <c r="B90" s="726">
        <v>6378.1369999999997</v>
      </c>
      <c r="C90" s="725" t="s">
        <v>720</v>
      </c>
      <c r="D90" s="727"/>
      <c r="E90" s="3"/>
      <c r="F90" s="3"/>
      <c r="G90" s="3"/>
      <c r="H90" s="3"/>
      <c r="I90" s="3"/>
      <c r="J90" s="3"/>
      <c r="K90" s="3"/>
      <c r="L90" s="3"/>
      <c r="M90" s="3"/>
      <c r="N90" s="3"/>
      <c r="O90" s="3"/>
      <c r="P90" s="3"/>
      <c r="Q90" s="3"/>
      <c r="R90" s="3"/>
      <c r="S90" s="3"/>
      <c r="T90" s="3"/>
      <c r="U90" s="3"/>
    </row>
    <row r="91" spans="1:21">
      <c r="A91" s="725" t="s">
        <v>504</v>
      </c>
      <c r="B91" s="726">
        <f>(398600000000000*(86400*(365.25/366.25)/(2*PI()))^2)^(1/3)/1000</f>
        <v>42164.155697888404</v>
      </c>
      <c r="C91" s="725" t="s">
        <v>720</v>
      </c>
      <c r="D91" s="488" t="s">
        <v>505</v>
      </c>
      <c r="E91" s="3"/>
      <c r="F91" s="3"/>
      <c r="G91" s="3"/>
      <c r="H91" s="3"/>
      <c r="I91" s="3"/>
      <c r="J91" s="3"/>
      <c r="K91" s="3"/>
      <c r="L91" s="3"/>
      <c r="M91" s="3"/>
      <c r="N91" s="3"/>
      <c r="O91" s="3"/>
      <c r="P91" s="3"/>
      <c r="Q91" s="3"/>
      <c r="R91" s="3"/>
      <c r="S91" s="3"/>
      <c r="T91" s="3"/>
      <c r="U91" s="3"/>
    </row>
    <row r="92" spans="1:21">
      <c r="A92" s="725" t="s">
        <v>506</v>
      </c>
      <c r="B92" s="726">
        <v>37410</v>
      </c>
      <c r="C92" s="101" t="s">
        <v>720</v>
      </c>
      <c r="D92" s="101" t="s">
        <v>510</v>
      </c>
      <c r="E92" s="3"/>
      <c r="F92" s="3"/>
      <c r="G92" s="3"/>
      <c r="H92" s="3"/>
      <c r="I92" s="3"/>
      <c r="J92" s="3"/>
      <c r="K92" s="3"/>
      <c r="L92" s="3"/>
      <c r="M92" s="3"/>
      <c r="N92" s="3"/>
      <c r="O92" s="3"/>
      <c r="P92" s="3"/>
      <c r="Q92" s="3"/>
      <c r="R92" s="3"/>
      <c r="S92" s="3"/>
      <c r="T92" s="3"/>
      <c r="U92" s="3"/>
    </row>
    <row r="93" spans="1:21">
      <c r="A93" s="725" t="s">
        <v>507</v>
      </c>
      <c r="B93" s="732">
        <v>35786.019</v>
      </c>
      <c r="C93" s="725" t="s">
        <v>720</v>
      </c>
      <c r="D93" s="101" t="s">
        <v>511</v>
      </c>
      <c r="E93" s="3"/>
      <c r="F93" s="3"/>
      <c r="G93" s="3"/>
      <c r="H93" s="3"/>
      <c r="I93" s="3"/>
      <c r="J93" s="3"/>
      <c r="K93" s="3"/>
      <c r="L93" s="3"/>
      <c r="M93" s="3"/>
      <c r="N93" s="3"/>
      <c r="O93" s="3"/>
      <c r="P93" s="3"/>
      <c r="Q93" s="3"/>
      <c r="R93" s="3"/>
      <c r="S93" s="3"/>
      <c r="T93" s="3"/>
      <c r="U93" s="3"/>
    </row>
    <row r="94" spans="1:21">
      <c r="A94" s="725" t="s">
        <v>508</v>
      </c>
      <c r="B94" s="732">
        <v>41678.957000000002</v>
      </c>
      <c r="C94" s="725" t="s">
        <v>720</v>
      </c>
      <c r="D94" s="101" t="s">
        <v>520</v>
      </c>
      <c r="E94" s="3"/>
      <c r="F94" s="3"/>
      <c r="G94" s="3"/>
      <c r="H94" s="3"/>
      <c r="I94" s="3"/>
      <c r="J94" s="3"/>
      <c r="K94" s="3"/>
      <c r="L94" s="3"/>
      <c r="M94" s="3"/>
      <c r="N94" s="3"/>
      <c r="O94" s="3"/>
      <c r="P94" s="3"/>
      <c r="Q94" s="3"/>
      <c r="R94" s="3"/>
      <c r="S94" s="3"/>
      <c r="T94" s="3"/>
      <c r="U94" s="3"/>
    </row>
    <row r="95" spans="1:21" ht="13.5" thickBot="1">
      <c r="A95" s="101" t="s">
        <v>715</v>
      </c>
      <c r="B95" s="728" t="s">
        <v>715</v>
      </c>
      <c r="C95" s="101" t="s">
        <v>715</v>
      </c>
      <c r="D95" s="101"/>
      <c r="E95" s="3"/>
      <c r="F95" s="3"/>
      <c r="G95" s="3"/>
      <c r="H95" s="3"/>
      <c r="I95" s="3"/>
      <c r="J95" s="3"/>
      <c r="K95" s="3"/>
      <c r="L95" s="3"/>
      <c r="M95" s="3"/>
      <c r="N95" s="3"/>
      <c r="O95" s="798" t="s">
        <v>28</v>
      </c>
      <c r="P95" s="3"/>
      <c r="Q95" s="3"/>
      <c r="R95" s="3"/>
      <c r="S95" s="3"/>
      <c r="T95" s="3"/>
      <c r="U95" s="3"/>
    </row>
    <row r="96" spans="1:21" ht="13.5" thickBot="1">
      <c r="A96" s="101" t="s">
        <v>715</v>
      </c>
      <c r="B96" s="754" t="s">
        <v>119</v>
      </c>
      <c r="C96" s="101"/>
      <c r="D96" s="101"/>
      <c r="E96" s="3"/>
      <c r="F96" s="3"/>
      <c r="G96" s="755" t="s">
        <v>343</v>
      </c>
      <c r="H96" s="3"/>
      <c r="I96" s="3"/>
      <c r="J96" s="3"/>
      <c r="K96" s="3"/>
      <c r="L96" s="3"/>
      <c r="M96" s="754" t="s">
        <v>122</v>
      </c>
      <c r="N96" s="101"/>
      <c r="O96" s="756" t="s">
        <v>140</v>
      </c>
      <c r="P96" s="3"/>
      <c r="Q96" s="3"/>
      <c r="R96" s="3"/>
      <c r="S96" s="3"/>
      <c r="T96" s="3"/>
      <c r="U96" s="3"/>
    </row>
    <row r="97" spans="1:21" ht="13.5" thickBot="1">
      <c r="A97" s="3"/>
      <c r="B97" s="798" t="s">
        <v>500</v>
      </c>
      <c r="C97" s="3"/>
      <c r="D97" s="3"/>
      <c r="E97" s="3"/>
      <c r="F97" s="3"/>
      <c r="G97" s="3"/>
      <c r="H97" s="3"/>
      <c r="I97" s="3"/>
      <c r="J97" s="3"/>
      <c r="K97" s="3"/>
      <c r="L97" s="3"/>
      <c r="M97" s="3"/>
      <c r="N97" s="3"/>
      <c r="O97" s="798" t="s">
        <v>715</v>
      </c>
      <c r="P97" s="3"/>
      <c r="Q97" s="3"/>
      <c r="R97" s="3"/>
      <c r="S97" s="3"/>
      <c r="T97" s="3"/>
      <c r="U97" s="3"/>
    </row>
    <row r="98" spans="1:21" ht="13" thickBot="1">
      <c r="A98" s="3" t="s">
        <v>514</v>
      </c>
      <c r="B98" s="784">
        <v>19.062200000000001</v>
      </c>
      <c r="C98" s="3" t="s">
        <v>4</v>
      </c>
      <c r="D98" s="26" t="s">
        <v>516</v>
      </c>
      <c r="E98" s="3"/>
      <c r="F98" s="3"/>
      <c r="G98" s="3"/>
      <c r="H98" s="3"/>
      <c r="I98" s="3"/>
      <c r="J98" s="3"/>
      <c r="K98" s="3"/>
      <c r="L98" s="3"/>
      <c r="M98" s="780" t="s">
        <v>514</v>
      </c>
      <c r="N98" s="3"/>
      <c r="O98" s="784">
        <v>17.429200000000002</v>
      </c>
      <c r="P98" s="3" t="s">
        <v>4</v>
      </c>
      <c r="Q98" s="3"/>
      <c r="R98" s="3"/>
      <c r="S98" s="3"/>
      <c r="T98" s="3"/>
      <c r="U98" s="3"/>
    </row>
    <row r="99" spans="1:21" ht="13" thickBot="1">
      <c r="A99" s="3"/>
      <c r="B99" s="785" t="s">
        <v>715</v>
      </c>
      <c r="C99" s="3"/>
      <c r="D99" s="3"/>
      <c r="E99" s="3"/>
      <c r="F99" s="3"/>
      <c r="G99" s="3"/>
      <c r="H99" s="3"/>
      <c r="I99" s="3"/>
      <c r="J99" s="3"/>
      <c r="K99" s="3"/>
      <c r="L99" s="3"/>
      <c r="M99" s="553"/>
      <c r="N99" s="3"/>
      <c r="O99" s="3"/>
      <c r="P99" s="3"/>
      <c r="Q99" s="3"/>
      <c r="R99" s="3"/>
      <c r="S99" s="3"/>
      <c r="T99" s="3"/>
      <c r="U99" s="3"/>
    </row>
    <row r="100" spans="1:21" ht="13" thickBot="1">
      <c r="A100" s="3" t="s">
        <v>515</v>
      </c>
      <c r="B100" s="784">
        <v>72.874200000000002</v>
      </c>
      <c r="C100" s="3" t="s">
        <v>4</v>
      </c>
      <c r="D100" s="26" t="s">
        <v>517</v>
      </c>
      <c r="E100" s="3"/>
      <c r="F100" s="3"/>
      <c r="G100" s="3"/>
      <c r="H100" s="3"/>
      <c r="I100" s="3"/>
      <c r="J100" s="3"/>
      <c r="K100" s="3"/>
      <c r="L100" s="3"/>
      <c r="M100" s="780" t="s">
        <v>515</v>
      </c>
      <c r="N100" s="3"/>
      <c r="O100" s="784">
        <v>78.465800000000002</v>
      </c>
      <c r="P100" s="3" t="s">
        <v>4</v>
      </c>
      <c r="Q100" s="3"/>
      <c r="R100" s="3"/>
      <c r="S100" s="3"/>
      <c r="T100" s="3"/>
      <c r="U100" s="3"/>
    </row>
    <row r="101" spans="1:21" ht="13" thickBot="1">
      <c r="A101" s="3"/>
      <c r="B101" s="828">
        <f>(B100-B102)</f>
        <v>-16.625799999999998</v>
      </c>
      <c r="C101" s="3"/>
      <c r="D101" s="3"/>
      <c r="E101" s="3"/>
      <c r="F101" s="3"/>
      <c r="G101" s="3"/>
      <c r="H101" s="3"/>
      <c r="I101" s="3"/>
      <c r="J101" s="3"/>
      <c r="K101" s="3"/>
      <c r="L101" s="3"/>
      <c r="M101" s="553"/>
      <c r="N101" s="3"/>
      <c r="O101" s="828">
        <f>O100-O102</f>
        <v>-11.034199999999998</v>
      </c>
      <c r="P101" s="3"/>
      <c r="Q101" s="3"/>
      <c r="R101" s="3"/>
      <c r="S101" s="3"/>
      <c r="T101" s="3"/>
      <c r="U101" s="3"/>
    </row>
    <row r="102" spans="1:21" ht="13" thickBot="1">
      <c r="A102" s="3" t="s">
        <v>303</v>
      </c>
      <c r="B102" s="784">
        <v>89.5</v>
      </c>
      <c r="C102" s="3" t="s">
        <v>4</v>
      </c>
      <c r="D102" s="3" t="s">
        <v>323</v>
      </c>
      <c r="E102" s="3"/>
      <c r="F102" s="3"/>
      <c r="G102" s="3"/>
      <c r="H102" s="3"/>
      <c r="I102" s="3"/>
      <c r="J102" s="3"/>
      <c r="K102" s="3"/>
      <c r="L102" s="3"/>
      <c r="M102" s="813" t="s">
        <v>822</v>
      </c>
      <c r="N102" s="3"/>
      <c r="O102" s="814">
        <f>B102</f>
        <v>89.5</v>
      </c>
      <c r="P102" s="3" t="s">
        <v>4</v>
      </c>
      <c r="Q102" s="3" t="s">
        <v>823</v>
      </c>
      <c r="R102" s="3"/>
      <c r="S102" s="3"/>
      <c r="T102" s="3"/>
      <c r="U102" s="3"/>
    </row>
    <row r="103" spans="1:21" ht="13" thickBot="1">
      <c r="A103" s="3"/>
      <c r="B103" s="3"/>
      <c r="C103" s="3"/>
      <c r="D103" s="3"/>
      <c r="E103" s="3"/>
      <c r="F103" s="3"/>
      <c r="G103" s="3"/>
      <c r="H103" s="3"/>
      <c r="I103" s="3"/>
      <c r="J103" s="3"/>
      <c r="K103" s="3"/>
      <c r="L103" s="3"/>
      <c r="M103" s="553"/>
      <c r="N103" s="3"/>
      <c r="O103" s="3"/>
      <c r="P103" s="3"/>
      <c r="Q103" s="3"/>
      <c r="R103" s="3"/>
      <c r="S103" s="3"/>
      <c r="T103" s="3"/>
      <c r="U103" s="3"/>
    </row>
    <row r="104" spans="1:21" ht="13.5" thickBot="1">
      <c r="A104" s="3" t="s">
        <v>518</v>
      </c>
      <c r="B104" s="748">
        <f>SQRT($B$91^2+$B$90^2-2*$B$91*$B$90*COS(B110/57.29578))</f>
        <v>36488.15588571554</v>
      </c>
      <c r="C104" s="3" t="s">
        <v>720</v>
      </c>
      <c r="D104" s="3" t="s">
        <v>324</v>
      </c>
      <c r="E104" s="3"/>
      <c r="F104" s="3"/>
      <c r="G104" s="3"/>
      <c r="H104" s="3"/>
      <c r="I104" s="3"/>
      <c r="J104" s="3"/>
      <c r="K104" s="3"/>
      <c r="L104" s="3"/>
      <c r="M104" s="779" t="s">
        <v>518</v>
      </c>
      <c r="N104" s="3"/>
      <c r="O104" s="748">
        <f>SQRT($B$91^2+$B$90^2-2*$B$91*$B$90*COS(O110/57.29578))</f>
        <v>36260.448781198123</v>
      </c>
      <c r="P104" s="3" t="s">
        <v>720</v>
      </c>
      <c r="Q104" s="3"/>
      <c r="R104" s="3"/>
      <c r="S104" s="3"/>
      <c r="T104" s="3"/>
      <c r="U104" s="3"/>
    </row>
    <row r="105" spans="1:21" ht="13" thickBot="1">
      <c r="A105" s="3"/>
      <c r="B105" s="3"/>
      <c r="C105" s="3"/>
      <c r="D105" s="3"/>
      <c r="E105" s="3"/>
      <c r="F105" s="3"/>
      <c r="G105" s="3"/>
      <c r="H105" s="3"/>
      <c r="I105" s="3"/>
      <c r="J105" s="3"/>
      <c r="K105" s="3"/>
      <c r="L105" s="3"/>
      <c r="M105" s="553"/>
      <c r="N105" s="3"/>
      <c r="O105" s="3"/>
      <c r="P105" s="3"/>
      <c r="Q105" s="3"/>
      <c r="R105" s="3"/>
      <c r="S105" s="3"/>
      <c r="T105" s="3"/>
      <c r="U105" s="3"/>
    </row>
    <row r="106" spans="1:21" ht="13" thickBot="1">
      <c r="A106" s="3" t="s">
        <v>529</v>
      </c>
      <c r="B106" s="807">
        <f>57.29578*ATAN((COS(B110/57.29578)-($B$90/$B$91))/SIN(B110/57.29578))</f>
        <v>60.660455833168932</v>
      </c>
      <c r="C106" s="3" t="s">
        <v>4</v>
      </c>
      <c r="D106" s="3" t="s">
        <v>325</v>
      </c>
      <c r="E106" s="3"/>
      <c r="F106" s="3"/>
      <c r="G106" s="3"/>
      <c r="H106" s="3"/>
      <c r="I106" s="3"/>
      <c r="J106" s="3"/>
      <c r="K106" s="3"/>
      <c r="L106" s="3"/>
      <c r="M106" s="780" t="s">
        <v>529</v>
      </c>
      <c r="N106" s="3"/>
      <c r="O106" s="807">
        <f>57.29578*ATAN((COS(O110/57.29578)-($B$90/$B$91))/SIN(O110/57.29578))</f>
        <v>65.925927773075983</v>
      </c>
      <c r="P106" s="3" t="s">
        <v>4</v>
      </c>
      <c r="Q106" s="3"/>
      <c r="R106" s="3"/>
      <c r="S106" s="3"/>
      <c r="T106" s="3"/>
      <c r="U106" s="3"/>
    </row>
    <row r="107" spans="1:21" ht="13" thickBot="1">
      <c r="A107" s="3"/>
      <c r="B107" s="829">
        <f>57.29578*ATAN(SIN($B$101/57.29578)/((-SIN($B$98/57.29578)*COS($B$101/57.29578))))</f>
        <v>42.436490136550354</v>
      </c>
      <c r="C107" s="3"/>
      <c r="D107" s="3"/>
      <c r="E107" s="3"/>
      <c r="F107" s="3"/>
      <c r="G107" s="3"/>
      <c r="H107" s="3"/>
      <c r="I107" s="3"/>
      <c r="J107" s="3"/>
      <c r="K107" s="3"/>
      <c r="L107" s="3"/>
      <c r="M107" s="780"/>
      <c r="N107" s="3"/>
      <c r="O107" s="829">
        <f>57.29578*ATAN(SIN(O101/57.29578)/((-SIN(O98/57.29578)*COS(O101/57.29578))))</f>
        <v>33.065164163394428</v>
      </c>
      <c r="P107" s="3"/>
      <c r="Q107" s="3"/>
      <c r="R107" s="3"/>
      <c r="S107" s="3"/>
      <c r="T107" s="3"/>
      <c r="U107" s="3"/>
    </row>
    <row r="108" spans="1:21" ht="13" thickBot="1">
      <c r="A108" s="3" t="s">
        <v>498</v>
      </c>
      <c r="B108" s="807">
        <f>'GEO Azimuth Calc Data'!E19</f>
        <v>137.56350986344964</v>
      </c>
      <c r="C108" s="3" t="s">
        <v>4</v>
      </c>
      <c r="D108" s="3" t="s">
        <v>499</v>
      </c>
      <c r="E108" s="3"/>
      <c r="F108" s="3"/>
      <c r="G108" s="3"/>
      <c r="H108" s="3"/>
      <c r="I108" s="3"/>
      <c r="J108" s="3"/>
      <c r="K108" s="3"/>
      <c r="L108" s="3"/>
      <c r="M108" s="780" t="s">
        <v>498</v>
      </c>
      <c r="N108" s="3"/>
      <c r="O108" s="807">
        <f>'GEO Azimuth Calc Data'!E40</f>
        <v>146.93483583660557</v>
      </c>
      <c r="P108" s="800" t="s">
        <v>4</v>
      </c>
      <c r="Q108" s="3"/>
      <c r="R108" s="3"/>
      <c r="S108" s="3"/>
      <c r="T108" s="3"/>
      <c r="U108" s="3"/>
    </row>
    <row r="109" spans="1:21" ht="13" thickBot="1">
      <c r="A109" s="3"/>
      <c r="B109" s="3" t="s">
        <v>715</v>
      </c>
      <c r="C109" s="3"/>
      <c r="D109" s="3"/>
      <c r="E109" s="3"/>
      <c r="F109" s="3"/>
      <c r="G109" s="3"/>
      <c r="H109" s="3"/>
      <c r="I109" s="3"/>
      <c r="J109" s="3"/>
      <c r="K109" s="3"/>
      <c r="L109" s="3"/>
      <c r="M109" s="3"/>
      <c r="N109" s="3"/>
      <c r="O109" s="3"/>
      <c r="P109" s="3"/>
      <c r="Q109" s="3"/>
      <c r="R109" s="3"/>
      <c r="S109" s="3"/>
      <c r="T109" s="3"/>
      <c r="U109" s="3"/>
    </row>
    <row r="110" spans="1:21" ht="13" thickBot="1">
      <c r="A110" s="3" t="s">
        <v>497</v>
      </c>
      <c r="B110" s="790">
        <f>57.29578*ACOS(COS(B98/57.29578)*COS(B101/57.29578))</f>
        <v>25.088911834355539</v>
      </c>
      <c r="C110" s="3" t="s">
        <v>4</v>
      </c>
      <c r="D110" s="3" t="s">
        <v>329</v>
      </c>
      <c r="E110" s="3"/>
      <c r="F110" s="3"/>
      <c r="G110" s="3"/>
      <c r="H110" s="3"/>
      <c r="I110" s="3"/>
      <c r="J110" s="3"/>
      <c r="K110" s="3"/>
      <c r="L110" s="3"/>
      <c r="M110" s="3" t="s">
        <v>497</v>
      </c>
      <c r="N110" s="3"/>
      <c r="O110" s="790">
        <f>57.29578*ACOS(COS(O98/57.29578)*COS(O101/57.29578))</f>
        <v>20.536371124162212</v>
      </c>
      <c r="P110" s="3" t="s">
        <v>4</v>
      </c>
      <c r="Q110" s="3"/>
      <c r="R110" s="3"/>
      <c r="S110" s="3"/>
      <c r="T110" s="3"/>
      <c r="U110" s="3"/>
    </row>
    <row r="111" spans="1:21">
      <c r="A111" s="3"/>
      <c r="B111" s="786"/>
      <c r="C111" s="3"/>
      <c r="D111" s="3"/>
      <c r="E111" s="3"/>
      <c r="F111" s="3"/>
      <c r="G111" s="3"/>
      <c r="H111" s="3"/>
      <c r="I111" s="3"/>
      <c r="J111" s="3"/>
      <c r="K111" s="3"/>
      <c r="L111" s="3"/>
      <c r="M111" s="3"/>
      <c r="N111" s="3"/>
      <c r="O111" s="457"/>
      <c r="P111" s="3"/>
      <c r="Q111" s="3"/>
      <c r="R111" s="3"/>
      <c r="S111" s="3"/>
      <c r="T111" s="3"/>
      <c r="U111" s="3"/>
    </row>
    <row r="112" spans="1:21">
      <c r="A112" s="3"/>
      <c r="B112" s="786" t="s">
        <v>715</v>
      </c>
      <c r="C112" s="3"/>
      <c r="D112" s="3"/>
      <c r="E112" s="3"/>
      <c r="F112" s="3"/>
      <c r="G112" s="3"/>
      <c r="H112" s="3"/>
      <c r="I112" s="3"/>
      <c r="J112" s="3"/>
      <c r="K112" s="3"/>
      <c r="L112" s="3"/>
      <c r="M112" s="3"/>
      <c r="N112" s="3"/>
      <c r="O112" s="457"/>
      <c r="P112" s="3"/>
      <c r="Q112" s="3"/>
      <c r="R112" s="3"/>
      <c r="S112" s="3"/>
      <c r="T112" s="3"/>
      <c r="U112" s="3"/>
    </row>
    <row r="113" spans="1:21">
      <c r="A113" s="3"/>
      <c r="B113" s="786"/>
      <c r="C113" s="3"/>
      <c r="D113" s="3"/>
      <c r="E113" s="3"/>
      <c r="F113" s="3"/>
      <c r="G113" s="3"/>
      <c r="H113" s="3"/>
      <c r="I113" s="3"/>
      <c r="J113" s="3"/>
      <c r="K113" s="3"/>
      <c r="L113" s="3"/>
      <c r="M113" s="3"/>
      <c r="N113" s="3"/>
      <c r="O113" s="457"/>
      <c r="P113" s="3"/>
      <c r="Q113" s="3"/>
      <c r="R113" s="3"/>
      <c r="S113" s="3"/>
      <c r="T113" s="3"/>
      <c r="U113" s="3"/>
    </row>
    <row r="114" spans="1:21" ht="13" thickBot="1">
      <c r="A114" s="112"/>
      <c r="B114" s="112"/>
      <c r="C114" s="112"/>
      <c r="D114" s="112"/>
      <c r="E114" s="112"/>
      <c r="F114" s="112"/>
      <c r="G114" s="101"/>
      <c r="H114" s="112"/>
      <c r="I114" s="112"/>
      <c r="J114" s="112"/>
      <c r="K114" s="112"/>
      <c r="L114" s="112"/>
      <c r="M114" s="112"/>
      <c r="N114" s="112"/>
      <c r="O114" s="112"/>
      <c r="P114" s="112"/>
      <c r="Q114" s="112"/>
      <c r="R114" s="112"/>
      <c r="S114" s="112"/>
      <c r="T114" s="112"/>
      <c r="U114" s="112"/>
    </row>
    <row r="115" spans="1:21" ht="15.5">
      <c r="A115" s="803" t="s">
        <v>30</v>
      </c>
      <c r="B115" s="782"/>
      <c r="C115" s="130"/>
      <c r="D115" s="130"/>
      <c r="E115" s="130"/>
      <c r="F115" s="130"/>
      <c r="G115" s="241" t="s">
        <v>140</v>
      </c>
      <c r="H115" s="130"/>
      <c r="I115" s="130"/>
      <c r="J115" s="130"/>
      <c r="K115" s="130"/>
      <c r="L115" s="130"/>
      <c r="M115" s="130"/>
      <c r="N115" s="130"/>
      <c r="O115" s="130"/>
      <c r="P115" s="130"/>
      <c r="Q115" s="130"/>
      <c r="R115" s="515"/>
      <c r="S115" s="515"/>
      <c r="T115" s="515"/>
      <c r="U115" s="515"/>
    </row>
    <row r="116" spans="1:21">
      <c r="A116" s="3"/>
      <c r="B116" s="220"/>
      <c r="C116" s="50"/>
      <c r="D116" s="3"/>
      <c r="E116" s="50"/>
      <c r="F116" s="3"/>
      <c r="G116" s="3"/>
      <c r="H116" s="50"/>
      <c r="I116" s="3"/>
      <c r="J116" s="3"/>
      <c r="K116" s="3"/>
      <c r="L116" s="3"/>
      <c r="M116" s="3"/>
      <c r="N116" s="3"/>
      <c r="O116" s="3"/>
      <c r="P116" s="3"/>
      <c r="Q116" s="3"/>
      <c r="R116" s="3"/>
      <c r="S116" s="3"/>
      <c r="T116" s="3"/>
      <c r="U116" s="3"/>
    </row>
    <row r="117" spans="1:21" ht="13">
      <c r="A117" s="50"/>
      <c r="B117" s="219"/>
      <c r="C117" s="65"/>
      <c r="D117" s="101"/>
      <c r="E117" s="32"/>
      <c r="F117" s="3"/>
      <c r="G117" s="3"/>
      <c r="H117" s="33"/>
      <c r="I117" s="3"/>
      <c r="J117" s="3"/>
      <c r="K117" s="3"/>
      <c r="L117" s="101"/>
      <c r="M117" s="768"/>
      <c r="N117" s="769"/>
      <c r="O117" s="734"/>
      <c r="P117" s="101"/>
      <c r="Q117" s="3"/>
      <c r="R117" s="3"/>
      <c r="S117" s="3"/>
      <c r="T117" s="3"/>
      <c r="U117" s="3"/>
    </row>
    <row r="118" spans="1:21">
      <c r="A118" s="50"/>
      <c r="B118" s="219"/>
      <c r="C118" s="65"/>
      <c r="D118" s="101"/>
      <c r="E118" s="32"/>
      <c r="F118" s="3"/>
      <c r="G118" s="3"/>
      <c r="H118" s="33"/>
      <c r="I118" s="3"/>
      <c r="J118" s="3"/>
      <c r="K118" s="3"/>
      <c r="L118" s="101"/>
      <c r="M118" s="101"/>
      <c r="N118" s="101"/>
      <c r="O118" s="101"/>
      <c r="P118" s="101"/>
      <c r="Q118" s="3"/>
      <c r="R118" s="3"/>
      <c r="S118" s="3"/>
      <c r="T118" s="3"/>
      <c r="U118" s="3"/>
    </row>
    <row r="119" spans="1:21">
      <c r="A119" s="50"/>
      <c r="B119" s="219"/>
      <c r="C119" s="65"/>
      <c r="D119" s="101"/>
      <c r="E119" s="32"/>
      <c r="F119" s="3"/>
      <c r="G119" s="3"/>
      <c r="H119" s="33"/>
      <c r="I119" s="3"/>
      <c r="J119" s="3"/>
      <c r="K119" s="3"/>
      <c r="L119" s="101"/>
      <c r="M119" s="101"/>
      <c r="N119" s="101"/>
      <c r="O119" s="101"/>
      <c r="P119" s="101"/>
      <c r="Q119" s="3"/>
      <c r="R119" s="3"/>
      <c r="S119" s="3"/>
      <c r="T119" s="3"/>
      <c r="U119" s="3"/>
    </row>
    <row r="120" spans="1:21">
      <c r="A120" s="228"/>
      <c r="B120" s="219"/>
      <c r="C120" s="764"/>
      <c r="D120" s="765"/>
      <c r="E120" s="32"/>
      <c r="F120" s="3"/>
      <c r="G120" s="3"/>
      <c r="H120" s="33"/>
      <c r="I120" s="3"/>
      <c r="J120" s="3"/>
      <c r="K120" s="3"/>
      <c r="L120" s="101"/>
      <c r="M120" s="101"/>
      <c r="N120" s="101"/>
      <c r="O120" s="101"/>
      <c r="P120" s="101"/>
      <c r="Q120" s="3"/>
      <c r="R120" s="3"/>
      <c r="S120" s="3"/>
      <c r="T120" s="3"/>
      <c r="U120" s="3"/>
    </row>
    <row r="121" spans="1:21" ht="13">
      <c r="A121" s="770" t="s">
        <v>686</v>
      </c>
      <c r="B121" s="381" t="s">
        <v>687</v>
      </c>
      <c r="C121" s="65"/>
      <c r="D121" s="101" t="s">
        <v>688</v>
      </c>
      <c r="E121" s="32"/>
      <c r="F121" s="781">
        <v>2.1</v>
      </c>
      <c r="G121" s="366" t="s">
        <v>689</v>
      </c>
      <c r="H121" s="33"/>
      <c r="I121" s="101"/>
      <c r="J121" s="767"/>
      <c r="K121" s="101"/>
      <c r="L121" s="101"/>
      <c r="M121" s="101"/>
      <c r="N121" s="101"/>
      <c r="O121" s="101"/>
      <c r="P121" s="101"/>
      <c r="Q121" s="3"/>
      <c r="R121" s="3"/>
      <c r="S121" s="3"/>
      <c r="T121" s="3"/>
      <c r="U121" s="3"/>
    </row>
    <row r="122" spans="1:21" ht="13">
      <c r="A122" s="3"/>
      <c r="B122" s="79"/>
      <c r="C122" s="65"/>
      <c r="D122" s="101"/>
      <c r="E122" s="32"/>
      <c r="F122" s="3"/>
      <c r="G122" s="3"/>
      <c r="H122" s="3"/>
      <c r="I122" s="3"/>
      <c r="J122" s="34"/>
      <c r="K122" s="3"/>
      <c r="L122" s="101"/>
      <c r="M122" s="101"/>
      <c r="N122" s="101"/>
      <c r="O122" s="101"/>
      <c r="P122" s="101"/>
      <c r="Q122" s="3"/>
      <c r="R122" s="3"/>
      <c r="S122" s="3"/>
      <c r="T122" s="3"/>
      <c r="U122" s="3"/>
    </row>
    <row r="123" spans="1:21" ht="13">
      <c r="A123" s="50"/>
      <c r="B123" s="219"/>
      <c r="C123" s="65"/>
      <c r="D123" s="101"/>
      <c r="E123" s="32"/>
      <c r="F123" s="3"/>
      <c r="G123" s="3"/>
      <c r="H123" s="33"/>
      <c r="I123" s="3"/>
      <c r="J123" s="3"/>
      <c r="K123" s="3"/>
      <c r="L123" s="101"/>
      <c r="M123" s="768"/>
      <c r="N123" s="769"/>
      <c r="O123" s="734"/>
      <c r="P123" s="101"/>
      <c r="Q123" s="3"/>
      <c r="R123" s="3"/>
      <c r="S123" s="3"/>
      <c r="T123" s="3"/>
      <c r="U123" s="3"/>
    </row>
    <row r="124" spans="1:21">
      <c r="A124" s="3"/>
      <c r="B124" s="220"/>
      <c r="C124" s="65"/>
      <c r="D124" s="101"/>
      <c r="E124" s="32"/>
      <c r="F124" s="3"/>
      <c r="G124" s="3"/>
      <c r="H124" s="33"/>
      <c r="I124" s="3"/>
      <c r="J124" s="3"/>
      <c r="K124" s="3"/>
      <c r="L124" s="101"/>
      <c r="M124" s="101"/>
      <c r="N124" s="101"/>
      <c r="O124" s="101"/>
      <c r="P124" s="101"/>
      <c r="Q124" s="3"/>
      <c r="R124" s="3"/>
      <c r="S124" s="3"/>
      <c r="T124" s="3"/>
      <c r="U124" s="3"/>
    </row>
    <row r="125" spans="1:21">
      <c r="A125" s="3"/>
      <c r="B125" s="771" t="s">
        <v>690</v>
      </c>
      <c r="C125" s="65"/>
      <c r="D125" s="818">
        <f>F121*1.5*100000000</f>
        <v>315000000.00000006</v>
      </c>
      <c r="E125" s="772" t="s">
        <v>720</v>
      </c>
      <c r="F125" s="3"/>
      <c r="G125" s="3"/>
      <c r="H125" s="33"/>
      <c r="I125" s="3"/>
      <c r="J125" s="3"/>
      <c r="K125" s="3"/>
      <c r="L125" s="101"/>
      <c r="M125" s="101"/>
      <c r="N125" s="101"/>
      <c r="O125" s="101"/>
      <c r="P125" s="101"/>
      <c r="Q125" s="3"/>
      <c r="R125" s="3"/>
      <c r="S125" s="3"/>
      <c r="T125" s="3"/>
      <c r="U125" s="3"/>
    </row>
    <row r="126" spans="1:21">
      <c r="A126" s="228"/>
      <c r="B126" s="220"/>
      <c r="C126" s="766"/>
      <c r="D126" s="765"/>
      <c r="E126" s="32"/>
      <c r="F126" s="3"/>
      <c r="G126" s="3"/>
      <c r="H126" s="33"/>
      <c r="I126" s="3"/>
      <c r="J126" s="3"/>
      <c r="K126" s="3"/>
      <c r="L126" s="3"/>
      <c r="M126" s="3"/>
      <c r="N126" s="3"/>
      <c r="O126" s="3"/>
      <c r="P126" s="3"/>
      <c r="Q126" s="3"/>
      <c r="R126" s="3"/>
      <c r="S126" s="3"/>
      <c r="T126" s="3"/>
      <c r="U126" s="3"/>
    </row>
    <row r="127" spans="1:21">
      <c r="A127" s="3"/>
      <c r="B127" s="3"/>
      <c r="C127" s="101"/>
      <c r="D127" s="101"/>
      <c r="E127" s="3"/>
      <c r="F127" s="3"/>
      <c r="G127" s="3"/>
      <c r="H127" s="3"/>
      <c r="I127" s="3"/>
      <c r="J127" s="3"/>
      <c r="K127" s="3"/>
      <c r="L127" s="3"/>
      <c r="M127" s="3"/>
      <c r="N127" s="3"/>
      <c r="O127" s="3"/>
      <c r="P127" s="3"/>
      <c r="Q127" s="3"/>
      <c r="R127" s="3"/>
      <c r="S127" s="3"/>
      <c r="T127" s="3"/>
      <c r="U127" s="3"/>
    </row>
    <row r="128" spans="1:21">
      <c r="A128" s="3" t="s">
        <v>715</v>
      </c>
      <c r="B128" s="3"/>
      <c r="C128" s="3"/>
      <c r="D128" s="3"/>
      <c r="E128" s="3"/>
      <c r="F128" s="3"/>
      <c r="G128" s="3"/>
      <c r="H128" s="3"/>
      <c r="I128" s="3"/>
      <c r="J128" s="3"/>
      <c r="K128" s="3"/>
      <c r="L128" s="3"/>
      <c r="M128" s="3"/>
      <c r="N128" s="3"/>
      <c r="O128" s="3"/>
      <c r="P128" s="3"/>
      <c r="Q128" s="3"/>
      <c r="R128" s="3"/>
      <c r="S128" s="3"/>
      <c r="T128" s="3"/>
      <c r="U128" s="3"/>
    </row>
    <row r="129" spans="1:21">
      <c r="A129" s="3"/>
      <c r="B129" s="31"/>
      <c r="C129" s="3"/>
      <c r="D129" s="3"/>
      <c r="E129" s="3"/>
      <c r="F129" s="3"/>
      <c r="G129" s="3"/>
      <c r="H129" s="3" t="s">
        <v>715</v>
      </c>
      <c r="I129" s="3"/>
      <c r="J129" s="3"/>
      <c r="K129" s="3"/>
      <c r="L129" s="3"/>
      <c r="M129" s="3"/>
      <c r="N129" s="3"/>
      <c r="O129" s="3"/>
      <c r="P129" s="3"/>
      <c r="Q129" s="3"/>
      <c r="R129" s="3"/>
      <c r="S129" s="3"/>
      <c r="T129" s="3"/>
      <c r="U129" s="3"/>
    </row>
    <row r="130" spans="1:21">
      <c r="A130" s="3"/>
      <c r="B130" s="3" t="s">
        <v>715</v>
      </c>
      <c r="C130" s="3"/>
      <c r="D130" s="3"/>
      <c r="E130" s="3"/>
      <c r="F130" s="3"/>
      <c r="G130" s="3"/>
      <c r="H130" s="3"/>
      <c r="I130" s="3"/>
      <c r="J130" s="3"/>
      <c r="K130" s="3"/>
      <c r="L130" s="3"/>
      <c r="M130" s="3"/>
      <c r="N130" s="3"/>
      <c r="O130" s="3"/>
      <c r="P130" s="3"/>
      <c r="Q130" s="3"/>
      <c r="R130" s="3"/>
      <c r="S130" s="3"/>
      <c r="T130" s="3"/>
      <c r="U130" s="3"/>
    </row>
    <row r="131" spans="1:21">
      <c r="A131" s="3"/>
      <c r="B131" s="3"/>
      <c r="C131" s="3"/>
      <c r="D131" s="3"/>
      <c r="E131" s="3"/>
      <c r="F131" s="3"/>
      <c r="G131" s="3"/>
      <c r="H131" s="3"/>
      <c r="I131" s="3"/>
      <c r="J131" s="3"/>
      <c r="K131" s="3"/>
      <c r="L131" s="3"/>
      <c r="M131" s="3"/>
      <c r="N131" s="3"/>
      <c r="O131" s="3"/>
      <c r="P131" s="3"/>
      <c r="Q131" s="3"/>
      <c r="R131" s="3"/>
      <c r="S131" s="3"/>
      <c r="T131" s="3"/>
      <c r="U131" s="3"/>
    </row>
    <row r="132" spans="1:21">
      <c r="A132" s="3"/>
      <c r="B132" s="3"/>
      <c r="C132" s="3"/>
      <c r="D132" s="3"/>
      <c r="E132" s="3"/>
      <c r="F132" s="3"/>
      <c r="G132" s="3"/>
      <c r="H132" s="3"/>
      <c r="I132" s="3"/>
      <c r="J132" s="3"/>
      <c r="K132" s="3"/>
      <c r="L132" s="3"/>
      <c r="M132" s="3"/>
      <c r="N132" s="3"/>
      <c r="O132" s="3"/>
      <c r="P132" s="3"/>
      <c r="Q132" s="3"/>
      <c r="R132" s="3"/>
      <c r="S132" s="3"/>
      <c r="T132" s="3"/>
      <c r="U132" s="3"/>
    </row>
    <row r="133" spans="1:21">
      <c r="A133" s="3"/>
      <c r="B133" s="3"/>
      <c r="C133" s="3"/>
      <c r="D133" s="3"/>
      <c r="E133" s="3"/>
      <c r="F133" s="3"/>
      <c r="G133" s="3"/>
      <c r="H133" s="3"/>
      <c r="I133" s="3"/>
      <c r="J133" s="3"/>
      <c r="K133" s="3"/>
      <c r="L133" s="3"/>
      <c r="M133" s="3"/>
      <c r="N133" s="3"/>
      <c r="O133" s="3"/>
      <c r="P133" s="3"/>
      <c r="Q133" s="3"/>
      <c r="R133" s="3"/>
      <c r="S133" s="3"/>
      <c r="T133" s="3"/>
      <c r="U133" s="3"/>
    </row>
    <row r="134" spans="1:21">
      <c r="A134" s="3"/>
      <c r="B134" s="3"/>
      <c r="C134" s="3"/>
      <c r="D134" s="3"/>
      <c r="E134" s="3"/>
      <c r="F134" s="3"/>
      <c r="G134" s="3"/>
      <c r="H134" s="3"/>
      <c r="I134" s="3"/>
      <c r="J134" s="3"/>
      <c r="K134" s="3"/>
      <c r="L134" s="3"/>
      <c r="M134" s="3"/>
      <c r="N134" s="3"/>
      <c r="O134" s="3"/>
      <c r="P134" s="3"/>
      <c r="Q134" s="3"/>
      <c r="R134" s="3"/>
      <c r="S134" s="3"/>
      <c r="T134" s="3"/>
      <c r="U134" s="3"/>
    </row>
    <row r="135" spans="1:21">
      <c r="A135" s="3"/>
      <c r="B135" s="3"/>
      <c r="C135" s="3"/>
      <c r="D135" s="3"/>
      <c r="E135" s="3"/>
      <c r="F135" s="3" t="s">
        <v>715</v>
      </c>
      <c r="G135" s="3"/>
      <c r="H135" s="3"/>
      <c r="I135" s="3"/>
      <c r="J135" s="3"/>
      <c r="K135" s="3"/>
      <c r="L135" s="3"/>
      <c r="M135" s="3"/>
      <c r="N135" s="3"/>
      <c r="O135" s="3"/>
      <c r="P135" s="3"/>
      <c r="Q135" s="3"/>
      <c r="R135" s="3"/>
      <c r="S135" s="3"/>
      <c r="T135" s="3"/>
      <c r="U135" s="3"/>
    </row>
    <row r="136" spans="1:21">
      <c r="A136" s="3"/>
      <c r="B136" s="3"/>
      <c r="C136" s="3"/>
      <c r="D136" s="3"/>
      <c r="E136" s="3"/>
      <c r="F136" s="3"/>
      <c r="G136" s="3"/>
      <c r="H136" s="3"/>
      <c r="I136" s="3"/>
      <c r="J136" s="3"/>
      <c r="K136" s="3"/>
      <c r="L136" s="3"/>
      <c r="M136" s="3"/>
      <c r="N136" s="3"/>
      <c r="O136" s="3"/>
      <c r="P136" s="3"/>
      <c r="Q136" s="3"/>
      <c r="R136" s="3"/>
      <c r="S136" s="3"/>
      <c r="T136" s="3"/>
      <c r="U136" s="3"/>
    </row>
    <row r="137" spans="1:21">
      <c r="A137" s="3"/>
      <c r="B137" s="3"/>
      <c r="C137" s="3"/>
      <c r="D137" s="3"/>
      <c r="E137" s="3"/>
      <c r="F137" s="3"/>
      <c r="G137" s="3"/>
      <c r="H137" s="3"/>
      <c r="I137" s="3"/>
      <c r="J137" s="3"/>
      <c r="K137" s="3"/>
      <c r="L137" s="3"/>
      <c r="M137" s="3"/>
      <c r="N137" s="3"/>
      <c r="O137" s="3"/>
      <c r="P137" s="3"/>
      <c r="Q137" s="3"/>
      <c r="R137" s="3"/>
      <c r="S137" s="3"/>
      <c r="T137" s="3"/>
      <c r="U137" s="3"/>
    </row>
    <row r="138" spans="1:21">
      <c r="A138" s="3"/>
      <c r="B138" s="3"/>
      <c r="C138" s="3"/>
      <c r="D138" s="3"/>
      <c r="E138" s="3"/>
      <c r="F138" s="3"/>
      <c r="G138" s="3"/>
      <c r="H138" s="3"/>
      <c r="I138" s="3"/>
      <c r="J138" s="3"/>
      <c r="K138" s="3"/>
      <c r="L138" s="3"/>
      <c r="M138" s="3"/>
      <c r="N138" s="3"/>
      <c r="O138" s="3"/>
      <c r="P138" s="3"/>
      <c r="Q138" s="3"/>
      <c r="R138" s="3"/>
      <c r="S138" s="3"/>
      <c r="T138" s="3"/>
      <c r="U138" s="3"/>
    </row>
    <row r="139" spans="1:21">
      <c r="A139" s="3"/>
      <c r="B139" s="3"/>
      <c r="C139" s="3"/>
      <c r="D139" s="3"/>
      <c r="E139" s="3"/>
      <c r="F139" s="3"/>
      <c r="G139" s="3"/>
      <c r="H139" s="3"/>
      <c r="I139" s="3"/>
      <c r="J139" s="3"/>
      <c r="K139" s="3"/>
      <c r="L139" s="3"/>
      <c r="M139" s="3"/>
      <c r="N139" s="3"/>
      <c r="O139" s="3"/>
      <c r="P139" s="3"/>
      <c r="Q139" s="3"/>
      <c r="R139" s="3"/>
      <c r="S139" s="3"/>
      <c r="T139" s="3"/>
      <c r="U139" s="3"/>
    </row>
    <row r="140" spans="1:21">
      <c r="A140" s="3"/>
      <c r="B140" s="3"/>
      <c r="C140" s="3"/>
      <c r="D140" s="3"/>
      <c r="E140" s="3"/>
      <c r="F140" s="3"/>
      <c r="G140" s="3"/>
      <c r="H140" s="3"/>
      <c r="I140" s="3"/>
      <c r="J140" s="3"/>
      <c r="K140" s="3"/>
      <c r="L140" s="3"/>
      <c r="M140" s="3"/>
      <c r="N140" s="3"/>
      <c r="O140" s="3"/>
      <c r="P140" s="3"/>
      <c r="Q140" s="3"/>
      <c r="R140" s="3"/>
      <c r="S140" s="3"/>
      <c r="T140" s="3"/>
      <c r="U140" s="3"/>
    </row>
    <row r="141" spans="1:21">
      <c r="A141" s="3"/>
      <c r="B141" s="3"/>
      <c r="C141" s="3"/>
      <c r="D141" s="3"/>
      <c r="E141" s="3"/>
      <c r="F141" s="3"/>
      <c r="G141" s="3"/>
      <c r="H141" s="3"/>
      <c r="I141" s="3"/>
      <c r="J141" s="3"/>
      <c r="K141" s="3"/>
      <c r="L141" s="3"/>
      <c r="M141" s="3"/>
      <c r="N141" s="3"/>
      <c r="O141" s="3"/>
      <c r="P141" s="3"/>
      <c r="Q141" s="3"/>
      <c r="R141" s="3"/>
      <c r="S141" s="3"/>
      <c r="T141" s="3"/>
      <c r="U141" s="3"/>
    </row>
    <row r="142" spans="1:21">
      <c r="A142" s="3"/>
      <c r="B142" s="3"/>
      <c r="C142" s="3"/>
      <c r="D142" s="3"/>
      <c r="E142" s="3"/>
      <c r="F142" s="3"/>
      <c r="G142" s="3"/>
      <c r="H142" s="3"/>
      <c r="I142" s="3"/>
      <c r="J142" s="3"/>
      <c r="K142" s="3"/>
      <c r="L142" s="3"/>
      <c r="M142" s="3"/>
      <c r="N142" s="3"/>
      <c r="O142" s="3"/>
      <c r="P142" s="3"/>
      <c r="Q142" s="3"/>
      <c r="R142" s="3"/>
      <c r="S142" s="3"/>
      <c r="T142" s="3"/>
      <c r="U142" s="3"/>
    </row>
    <row r="143" spans="1:21">
      <c r="A143" s="3"/>
      <c r="B143" s="3"/>
      <c r="C143" s="3"/>
      <c r="D143" s="3"/>
      <c r="E143" s="3"/>
      <c r="F143" s="3"/>
      <c r="G143" s="3"/>
      <c r="H143" s="3"/>
      <c r="I143" s="3"/>
      <c r="J143" s="3"/>
      <c r="K143" s="3"/>
      <c r="L143" s="3"/>
      <c r="M143" s="3"/>
      <c r="N143" s="3"/>
      <c r="O143" s="3"/>
      <c r="P143" s="3"/>
      <c r="Q143" s="3"/>
      <c r="R143" s="3"/>
      <c r="S143" s="3"/>
      <c r="T143" s="3"/>
      <c r="U143" s="3"/>
    </row>
    <row r="144" spans="1:21">
      <c r="A144" s="3"/>
      <c r="B144" s="3"/>
      <c r="C144" s="3"/>
      <c r="D144" s="3"/>
      <c r="E144" s="3"/>
      <c r="F144" s="3"/>
      <c r="G144" s="3"/>
      <c r="H144" s="3"/>
      <c r="I144" s="3"/>
      <c r="J144" s="3"/>
      <c r="K144" s="3"/>
      <c r="L144" s="3"/>
      <c r="M144" s="3"/>
      <c r="N144" s="3"/>
      <c r="O144" s="3"/>
      <c r="P144" s="3"/>
      <c r="Q144" s="3"/>
      <c r="R144" s="3"/>
      <c r="S144" s="3"/>
      <c r="T144" s="3"/>
      <c r="U144" s="3"/>
    </row>
    <row r="145" spans="1:21">
      <c r="A145" s="3"/>
      <c r="B145" s="3"/>
      <c r="C145" s="3"/>
      <c r="D145" s="3"/>
      <c r="E145" s="3"/>
      <c r="F145" s="3"/>
      <c r="G145" s="3"/>
      <c r="H145" s="3"/>
      <c r="I145" s="3"/>
      <c r="J145" s="3"/>
      <c r="K145" s="3"/>
      <c r="L145" s="3"/>
      <c r="M145" s="3"/>
      <c r="N145" s="3"/>
      <c r="O145" s="3"/>
      <c r="P145" s="3"/>
      <c r="Q145" s="3"/>
      <c r="R145" s="3"/>
      <c r="S145" s="3"/>
      <c r="T145" s="3"/>
      <c r="U145" s="3"/>
    </row>
    <row r="146" spans="1:21">
      <c r="A146" s="3"/>
      <c r="B146" s="3"/>
      <c r="C146" s="3"/>
      <c r="D146" s="3"/>
      <c r="E146" s="3"/>
      <c r="F146" s="3"/>
      <c r="G146" s="3"/>
      <c r="H146" s="3"/>
      <c r="I146" s="3"/>
      <c r="J146" s="3"/>
      <c r="K146" s="3"/>
      <c r="L146" s="3"/>
      <c r="M146" s="3"/>
      <c r="N146" s="3"/>
      <c r="O146" s="3"/>
      <c r="P146" s="3"/>
      <c r="Q146" s="3"/>
      <c r="R146" s="3"/>
      <c r="S146" s="3"/>
      <c r="T146" s="3"/>
      <c r="U146" s="3"/>
    </row>
    <row r="147" spans="1:21">
      <c r="A147" s="3"/>
      <c r="B147" s="3"/>
      <c r="C147" s="3"/>
      <c r="D147" s="3"/>
      <c r="E147" s="3"/>
      <c r="F147" s="3"/>
      <c r="G147" s="3"/>
      <c r="H147" s="3"/>
      <c r="I147" s="3"/>
      <c r="J147" s="3"/>
      <c r="K147" s="3"/>
      <c r="L147" s="3"/>
      <c r="M147" s="3"/>
      <c r="N147" s="3"/>
      <c r="O147" s="3"/>
      <c r="P147" s="3"/>
      <c r="Q147" s="3"/>
      <c r="R147" s="3"/>
      <c r="S147" s="3"/>
      <c r="T147" s="3"/>
      <c r="U147" s="3"/>
    </row>
    <row r="148" spans="1:21">
      <c r="A148" s="3"/>
      <c r="B148" s="3"/>
      <c r="C148" s="3"/>
      <c r="D148" s="3"/>
      <c r="E148" s="3"/>
      <c r="F148" s="3"/>
      <c r="G148" s="3"/>
      <c r="H148" s="3"/>
      <c r="I148" s="3"/>
      <c r="J148" s="3"/>
      <c r="K148" s="3"/>
      <c r="L148" s="3"/>
      <c r="M148" s="3"/>
      <c r="N148" s="3"/>
      <c r="O148" s="3"/>
      <c r="P148" s="3"/>
      <c r="Q148" s="3"/>
      <c r="R148" s="3"/>
      <c r="S148" s="3"/>
      <c r="T148" s="3"/>
      <c r="U148" s="3"/>
    </row>
    <row r="149" spans="1:21">
      <c r="A149" s="3"/>
      <c r="B149" s="3"/>
      <c r="C149" s="3"/>
      <c r="D149" s="3"/>
      <c r="E149" s="3"/>
      <c r="F149" s="3"/>
      <c r="G149" s="3"/>
      <c r="H149" s="3"/>
      <c r="I149" s="3"/>
      <c r="J149" s="3"/>
      <c r="K149" s="3"/>
      <c r="L149" s="3"/>
      <c r="M149" s="3"/>
      <c r="N149" s="3"/>
      <c r="O149" s="3"/>
      <c r="P149" s="3"/>
      <c r="Q149" s="3"/>
      <c r="R149" s="3"/>
      <c r="S149" s="3"/>
      <c r="T149" s="3"/>
      <c r="U149" s="3"/>
    </row>
    <row r="150" spans="1:21">
      <c r="A150" s="3"/>
      <c r="B150" s="3"/>
      <c r="C150" s="3"/>
      <c r="D150" s="3"/>
      <c r="E150" s="3"/>
      <c r="F150" s="3"/>
      <c r="G150" s="3"/>
      <c r="H150" s="3"/>
      <c r="I150" s="3"/>
      <c r="J150" s="3"/>
      <c r="K150" s="3"/>
      <c r="L150" s="3"/>
      <c r="M150" s="3"/>
      <c r="N150" s="3"/>
      <c r="O150" s="3"/>
      <c r="P150" s="3"/>
      <c r="Q150" s="3"/>
      <c r="R150" s="3"/>
      <c r="S150" s="3"/>
      <c r="T150" s="3"/>
      <c r="U150" s="3"/>
    </row>
    <row r="151" spans="1:21">
      <c r="A151" s="3"/>
      <c r="B151" s="3"/>
      <c r="C151" s="3"/>
      <c r="D151" s="3"/>
      <c r="E151" s="3"/>
      <c r="F151" s="3"/>
      <c r="G151" s="3"/>
      <c r="H151" s="3"/>
      <c r="I151" s="3"/>
      <c r="J151" s="3"/>
      <c r="K151" s="3"/>
      <c r="L151" s="3"/>
      <c r="M151" s="3"/>
      <c r="N151" s="3"/>
      <c r="O151" s="3"/>
      <c r="P151" s="3"/>
      <c r="Q151" s="3"/>
      <c r="R151" s="3"/>
      <c r="S151" s="3"/>
      <c r="T151" s="3"/>
      <c r="U151" s="3"/>
    </row>
    <row r="152" spans="1:21">
      <c r="A152" s="3"/>
      <c r="B152" s="3"/>
      <c r="C152" s="3"/>
      <c r="D152" s="3"/>
      <c r="E152" s="3"/>
      <c r="F152" s="3"/>
      <c r="G152" s="3"/>
      <c r="H152" s="3"/>
      <c r="I152" s="3"/>
      <c r="J152" s="3"/>
      <c r="K152" s="3"/>
      <c r="L152" s="3"/>
      <c r="M152" s="3"/>
      <c r="N152" s="3"/>
      <c r="O152" s="3"/>
      <c r="P152" s="3"/>
      <c r="Q152" s="3"/>
      <c r="R152" s="3"/>
      <c r="S152" s="3"/>
      <c r="T152" s="3"/>
      <c r="U152" s="3"/>
    </row>
    <row r="153" spans="1:21">
      <c r="A153" s="3"/>
      <c r="B153" s="3"/>
      <c r="C153" s="3"/>
      <c r="D153" s="3"/>
      <c r="E153" s="3"/>
      <c r="F153" s="3"/>
      <c r="G153" s="3"/>
      <c r="H153" s="3"/>
      <c r="I153" s="3"/>
      <c r="J153" s="3"/>
      <c r="K153" s="3"/>
      <c r="L153" s="3"/>
      <c r="M153" s="3"/>
      <c r="N153" s="3"/>
      <c r="O153" s="3"/>
      <c r="P153" s="3"/>
      <c r="Q153" s="3"/>
      <c r="R153" s="3"/>
      <c r="S153" s="3"/>
      <c r="T153" s="3"/>
      <c r="U153" s="3"/>
    </row>
    <row r="154" spans="1:21">
      <c r="A154" s="3"/>
      <c r="B154" s="3"/>
      <c r="C154" s="3"/>
      <c r="D154" s="3"/>
      <c r="E154" s="3"/>
      <c r="F154" s="3"/>
      <c r="G154" s="3"/>
      <c r="H154" s="3"/>
      <c r="I154" s="3"/>
      <c r="J154" s="3"/>
      <c r="K154" s="3"/>
      <c r="L154" s="3"/>
      <c r="M154" s="3"/>
      <c r="N154" s="3"/>
      <c r="O154" s="3"/>
      <c r="P154" s="3"/>
      <c r="Q154" s="3"/>
      <c r="R154" s="3"/>
      <c r="S154" s="3"/>
      <c r="T154" s="3"/>
      <c r="U154" s="3"/>
    </row>
    <row r="155" spans="1:21">
      <c r="A155" s="3"/>
      <c r="B155" s="3"/>
      <c r="C155" s="3"/>
      <c r="D155" s="3"/>
      <c r="E155" s="3"/>
      <c r="F155" s="3"/>
      <c r="G155" s="3"/>
      <c r="H155" s="3"/>
      <c r="I155" s="3"/>
      <c r="J155" s="3"/>
      <c r="K155" s="3"/>
      <c r="L155" s="3"/>
      <c r="M155" s="3"/>
      <c r="N155" s="3"/>
      <c r="O155" s="3"/>
      <c r="P155" s="3"/>
      <c r="Q155" s="3"/>
      <c r="R155" s="3"/>
      <c r="S155" s="3"/>
      <c r="T155" s="3"/>
      <c r="U155" s="3"/>
    </row>
    <row r="156" spans="1:21">
      <c r="A156" s="3"/>
      <c r="B156" s="3"/>
      <c r="C156" s="3"/>
      <c r="D156" s="3"/>
      <c r="E156" s="3"/>
      <c r="F156" s="3"/>
      <c r="G156" s="3"/>
      <c r="H156" s="3"/>
      <c r="I156" s="3"/>
      <c r="J156" s="3"/>
      <c r="K156" s="3"/>
      <c r="L156" s="3"/>
      <c r="M156" s="3"/>
      <c r="N156" s="3"/>
      <c r="O156" s="3"/>
      <c r="P156" s="3"/>
      <c r="Q156" s="3"/>
      <c r="R156" s="3"/>
      <c r="S156" s="3"/>
      <c r="T156" s="3"/>
      <c r="U156" s="3"/>
    </row>
    <row r="157" spans="1:21">
      <c r="A157" s="3"/>
      <c r="B157" s="3"/>
      <c r="C157" s="3"/>
      <c r="D157" s="3"/>
      <c r="E157" s="3"/>
      <c r="F157" s="3"/>
      <c r="G157" s="3"/>
      <c r="H157" s="3"/>
      <c r="I157" s="3"/>
      <c r="J157" s="3"/>
      <c r="K157" s="3"/>
      <c r="L157" s="3"/>
      <c r="M157" s="3"/>
      <c r="N157" s="3"/>
      <c r="O157" s="3"/>
      <c r="P157" s="3"/>
      <c r="Q157" s="3"/>
      <c r="R157" s="3"/>
      <c r="S157" s="3"/>
      <c r="T157" s="3"/>
      <c r="U157" s="3"/>
    </row>
    <row r="158" spans="1:21">
      <c r="A158" s="3"/>
      <c r="B158" s="3"/>
      <c r="C158" s="3"/>
      <c r="D158" s="3"/>
      <c r="E158" s="3"/>
      <c r="F158" s="3"/>
      <c r="G158" s="3"/>
      <c r="H158" s="3"/>
      <c r="I158" s="3"/>
      <c r="J158" s="3"/>
      <c r="K158" s="3"/>
      <c r="L158" s="3"/>
      <c r="M158" s="3"/>
      <c r="N158" s="3"/>
      <c r="O158" s="3"/>
      <c r="P158" s="3"/>
      <c r="Q158" s="3"/>
      <c r="R158" s="3"/>
      <c r="S158" s="3"/>
      <c r="T158" s="3"/>
      <c r="U158" s="3"/>
    </row>
    <row r="159" spans="1:21">
      <c r="A159" s="3"/>
      <c r="B159" s="3"/>
      <c r="C159" s="3"/>
      <c r="D159" s="3"/>
      <c r="E159" s="3"/>
      <c r="F159" s="3"/>
      <c r="G159" s="3"/>
      <c r="H159" s="3"/>
      <c r="I159" s="3"/>
      <c r="J159" s="3"/>
      <c r="K159" s="3"/>
      <c r="L159" s="3"/>
      <c r="M159" s="3"/>
      <c r="N159" s="3"/>
      <c r="O159" s="3"/>
      <c r="P159" s="3"/>
      <c r="Q159" s="3"/>
      <c r="R159" s="3"/>
      <c r="S159" s="3"/>
      <c r="T159" s="3"/>
      <c r="U159" s="3"/>
    </row>
    <row r="160" spans="1:21">
      <c r="A160" s="3"/>
      <c r="B160" s="3"/>
      <c r="C160" s="3"/>
      <c r="D160" s="3"/>
      <c r="E160" s="3"/>
      <c r="F160" s="3"/>
      <c r="G160" s="3"/>
      <c r="H160" s="3"/>
      <c r="I160" s="3"/>
      <c r="J160" s="3"/>
      <c r="K160" s="3"/>
      <c r="L160" s="3"/>
      <c r="M160" s="3"/>
      <c r="N160" s="3"/>
      <c r="O160" s="3"/>
      <c r="P160" s="3"/>
      <c r="Q160" s="3"/>
      <c r="R160" s="3"/>
      <c r="S160" s="3"/>
      <c r="T160" s="3"/>
      <c r="U160" s="3"/>
    </row>
    <row r="161" spans="1:21">
      <c r="A161" s="3"/>
      <c r="B161" s="3"/>
      <c r="C161" s="3"/>
      <c r="D161" s="3"/>
      <c r="E161" s="3"/>
      <c r="F161" s="3"/>
      <c r="G161" s="3"/>
      <c r="H161" s="3"/>
      <c r="I161" s="3"/>
      <c r="J161" s="3"/>
      <c r="K161" s="3"/>
      <c r="L161" s="3"/>
      <c r="M161" s="3"/>
      <c r="N161" s="3"/>
      <c r="O161" s="3"/>
      <c r="P161" s="3"/>
      <c r="Q161" s="3"/>
      <c r="R161" s="3"/>
      <c r="S161" s="3"/>
      <c r="T161" s="3"/>
      <c r="U161" s="3"/>
    </row>
    <row r="162" spans="1:21">
      <c r="A162" s="3"/>
      <c r="B162" s="3"/>
      <c r="C162" s="3"/>
      <c r="D162" s="3"/>
      <c r="E162" s="3"/>
      <c r="F162" s="3"/>
      <c r="G162" s="3"/>
      <c r="H162" s="3"/>
      <c r="I162" s="3"/>
      <c r="J162" s="3"/>
      <c r="K162" s="3"/>
      <c r="L162" s="3"/>
      <c r="M162" s="3"/>
      <c r="N162" s="3"/>
      <c r="O162" s="3"/>
      <c r="P162" s="3"/>
      <c r="Q162" s="3"/>
      <c r="R162" s="3"/>
      <c r="S162" s="3"/>
      <c r="T162" s="3"/>
      <c r="U162" s="3"/>
    </row>
    <row r="163" spans="1:21">
      <c r="A163" s="3"/>
      <c r="B163" s="3"/>
      <c r="C163" s="3"/>
      <c r="D163" s="3"/>
      <c r="E163" s="3"/>
      <c r="F163" s="3"/>
      <c r="G163" s="3"/>
      <c r="H163" s="3"/>
      <c r="I163" s="3"/>
      <c r="J163" s="3"/>
      <c r="K163" s="3"/>
      <c r="L163" s="3"/>
      <c r="M163" s="3"/>
      <c r="N163" s="3"/>
      <c r="O163" s="3"/>
      <c r="P163" s="3"/>
      <c r="Q163" s="3"/>
      <c r="R163" s="3"/>
      <c r="S163" s="3"/>
      <c r="T163" s="3"/>
      <c r="U163" s="3"/>
    </row>
    <row r="164" spans="1:21">
      <c r="A164" s="3"/>
      <c r="B164" s="3"/>
      <c r="C164" s="3"/>
      <c r="D164" s="3"/>
      <c r="E164" s="3"/>
      <c r="F164" s="3"/>
      <c r="G164" s="3"/>
      <c r="H164" s="3"/>
      <c r="I164" s="3"/>
      <c r="J164" s="3"/>
      <c r="K164" s="3"/>
      <c r="L164" s="3"/>
      <c r="M164" s="3"/>
      <c r="N164" s="3"/>
      <c r="O164" s="3"/>
      <c r="P164" s="3"/>
      <c r="Q164" s="3"/>
      <c r="R164" s="3"/>
      <c r="S164" s="3"/>
      <c r="T164" s="3"/>
      <c r="U164" s="3"/>
    </row>
    <row r="165" spans="1:21">
      <c r="A165" s="3"/>
      <c r="B165" s="3"/>
      <c r="C165" s="3"/>
      <c r="D165" s="3"/>
      <c r="E165" s="3"/>
      <c r="F165" s="3"/>
      <c r="G165" s="3"/>
      <c r="H165" s="3"/>
      <c r="I165" s="3"/>
      <c r="J165" s="3"/>
      <c r="K165" s="3"/>
      <c r="L165" s="3"/>
      <c r="M165" s="3"/>
      <c r="N165" s="3"/>
      <c r="O165" s="3"/>
      <c r="P165" s="3"/>
      <c r="Q165" s="3"/>
      <c r="R165" s="3"/>
      <c r="S165" s="3"/>
      <c r="T165" s="3"/>
      <c r="U165" s="3"/>
    </row>
    <row r="166" spans="1:21">
      <c r="A166" s="3"/>
      <c r="B166" s="3"/>
      <c r="C166" s="3"/>
      <c r="D166" s="3"/>
      <c r="E166" s="3"/>
      <c r="F166" s="3"/>
      <c r="G166" s="3"/>
      <c r="H166" s="3"/>
      <c r="I166" s="3"/>
      <c r="J166" s="3"/>
      <c r="K166" s="3"/>
      <c r="L166" s="3"/>
      <c r="M166" s="3"/>
      <c r="N166" s="3"/>
      <c r="O166" s="3"/>
      <c r="P166" s="3"/>
      <c r="Q166" s="3"/>
      <c r="R166" s="3"/>
      <c r="S166" s="3"/>
      <c r="T166" s="3"/>
      <c r="U166" s="3"/>
    </row>
    <row r="167" spans="1:21">
      <c r="A167" s="3"/>
      <c r="B167" s="3"/>
      <c r="C167" s="3"/>
      <c r="D167" s="3"/>
      <c r="E167" s="3"/>
      <c r="F167" s="3"/>
      <c r="G167" s="3"/>
      <c r="H167" s="3"/>
      <c r="I167" s="3"/>
      <c r="J167" s="3"/>
      <c r="K167" s="3"/>
      <c r="L167" s="3"/>
      <c r="M167" s="3"/>
      <c r="N167" s="3"/>
      <c r="O167" s="3"/>
      <c r="P167" s="3"/>
      <c r="Q167" s="3"/>
      <c r="R167" s="3"/>
      <c r="S167" s="3"/>
      <c r="T167" s="3"/>
      <c r="U167" s="3"/>
    </row>
    <row r="168" spans="1:21">
      <c r="A168" s="3"/>
      <c r="B168" s="3"/>
      <c r="C168" s="3"/>
      <c r="D168" s="3"/>
      <c r="E168" s="3"/>
      <c r="F168" s="3"/>
      <c r="G168" s="3"/>
      <c r="H168" s="3"/>
      <c r="I168" s="3"/>
      <c r="J168" s="3"/>
      <c r="K168" s="3"/>
      <c r="L168" s="3"/>
      <c r="M168" s="3"/>
      <c r="N168" s="3"/>
      <c r="O168" s="3"/>
      <c r="P168" s="3"/>
      <c r="Q168" s="3"/>
      <c r="R168" s="3"/>
      <c r="S168" s="3"/>
      <c r="T168" s="3"/>
      <c r="U168" s="3"/>
    </row>
    <row r="169" spans="1:21">
      <c r="A169" s="3"/>
      <c r="B169" s="3"/>
      <c r="C169" s="3"/>
      <c r="D169" s="3"/>
      <c r="E169" s="3"/>
      <c r="F169" s="3"/>
      <c r="G169" s="3"/>
      <c r="H169" s="3"/>
      <c r="I169" s="3"/>
      <c r="J169" s="3"/>
      <c r="K169" s="3"/>
      <c r="L169" s="3"/>
      <c r="M169" s="3"/>
      <c r="N169" s="3"/>
      <c r="O169" s="3"/>
      <c r="P169" s="3"/>
      <c r="Q169" s="3"/>
      <c r="R169" s="3"/>
      <c r="S169" s="3"/>
      <c r="T169" s="3"/>
      <c r="U169" s="3"/>
    </row>
    <row r="170" spans="1:21">
      <c r="A170" s="3"/>
      <c r="B170" s="3"/>
      <c r="C170" s="3"/>
      <c r="D170" s="3"/>
      <c r="E170" s="3"/>
      <c r="F170" s="3"/>
      <c r="G170" s="3"/>
      <c r="H170" s="3"/>
      <c r="I170" s="3"/>
      <c r="J170" s="3"/>
      <c r="K170" s="3"/>
      <c r="L170" s="3"/>
      <c r="M170" s="3"/>
      <c r="N170" s="3"/>
      <c r="O170" s="3"/>
      <c r="P170" s="3"/>
      <c r="Q170" s="3"/>
      <c r="R170" s="3"/>
      <c r="S170" s="3"/>
      <c r="T170" s="3"/>
      <c r="U170" s="3"/>
    </row>
    <row r="171" spans="1:21">
      <c r="A171" s="3"/>
      <c r="B171" s="3"/>
      <c r="C171" s="3"/>
      <c r="D171" s="3"/>
      <c r="E171" s="3"/>
      <c r="F171" s="3"/>
      <c r="G171" s="3"/>
      <c r="H171" s="3"/>
      <c r="I171" s="3"/>
      <c r="J171" s="3"/>
      <c r="K171" s="3"/>
      <c r="L171" s="3"/>
      <c r="M171" s="3"/>
      <c r="N171" s="3"/>
      <c r="O171" s="3"/>
      <c r="P171" s="3"/>
      <c r="Q171" s="3"/>
      <c r="R171" s="3"/>
      <c r="S171" s="3"/>
      <c r="T171" s="3"/>
      <c r="U171" s="3"/>
    </row>
    <row r="172" spans="1:21">
      <c r="A172" s="3"/>
      <c r="B172" s="3"/>
      <c r="C172" s="3"/>
      <c r="D172" s="3"/>
      <c r="E172" s="3"/>
      <c r="F172" s="3"/>
      <c r="G172" s="3"/>
      <c r="H172" s="3"/>
      <c r="I172" s="3"/>
      <c r="J172" s="3"/>
      <c r="K172" s="3"/>
      <c r="L172" s="3"/>
      <c r="M172" s="3"/>
      <c r="N172" s="3"/>
      <c r="O172" s="3"/>
      <c r="P172" s="3"/>
      <c r="Q172" s="3"/>
      <c r="R172" s="3"/>
      <c r="S172" s="3"/>
      <c r="T172" s="3"/>
      <c r="U172" s="3"/>
    </row>
    <row r="173" spans="1:21">
      <c r="A173" s="3"/>
      <c r="B173" s="3"/>
      <c r="C173" s="3"/>
      <c r="D173" s="3"/>
      <c r="E173" s="3"/>
      <c r="F173" s="3"/>
      <c r="G173" s="3"/>
      <c r="H173" s="3"/>
      <c r="I173" s="3"/>
      <c r="J173" s="3"/>
      <c r="K173" s="3"/>
      <c r="L173" s="3"/>
      <c r="M173" s="3"/>
      <c r="N173" s="3"/>
      <c r="O173" s="3"/>
      <c r="P173" s="3"/>
      <c r="Q173" s="3"/>
      <c r="R173" s="3"/>
      <c r="S173" s="3"/>
      <c r="T173" s="3"/>
      <c r="U173" s="3"/>
    </row>
    <row r="174" spans="1:21">
      <c r="A174" s="3"/>
      <c r="B174" s="3"/>
      <c r="C174" s="3"/>
      <c r="D174" s="3"/>
      <c r="E174" s="3"/>
      <c r="F174" s="3"/>
      <c r="G174" s="3"/>
      <c r="H174" s="3"/>
      <c r="I174" s="3"/>
      <c r="J174" s="3"/>
      <c r="K174" s="3"/>
      <c r="L174" s="3"/>
      <c r="M174" s="3"/>
      <c r="N174" s="3"/>
      <c r="O174" s="3"/>
      <c r="P174" s="3"/>
      <c r="Q174" s="3"/>
      <c r="R174" s="3"/>
      <c r="S174" s="3"/>
      <c r="T174" s="3"/>
      <c r="U174" s="3"/>
    </row>
    <row r="175" spans="1:21">
      <c r="A175" s="3"/>
      <c r="B175" s="3"/>
      <c r="C175" s="3"/>
      <c r="D175" s="3"/>
      <c r="E175" s="3"/>
      <c r="F175" s="3"/>
      <c r="G175" s="3"/>
      <c r="H175" s="3"/>
      <c r="I175" s="3"/>
      <c r="J175" s="3"/>
      <c r="K175" s="3"/>
      <c r="L175" s="3"/>
      <c r="M175" s="3"/>
      <c r="N175" s="3"/>
      <c r="O175" s="3"/>
      <c r="P175" s="3"/>
      <c r="Q175" s="3"/>
      <c r="R175" s="3"/>
      <c r="S175" s="3"/>
      <c r="T175" s="3"/>
      <c r="U175" s="3"/>
    </row>
    <row r="176" spans="1:21">
      <c r="A176" s="3"/>
      <c r="B176" s="3"/>
      <c r="C176" s="3"/>
      <c r="D176" s="3"/>
      <c r="E176" s="3"/>
      <c r="F176" s="3"/>
      <c r="G176" s="3"/>
      <c r="H176" s="3"/>
      <c r="I176" s="3"/>
      <c r="J176" s="3"/>
      <c r="K176" s="3"/>
      <c r="L176" s="3"/>
      <c r="M176" s="3"/>
      <c r="N176" s="3"/>
      <c r="O176" s="3"/>
      <c r="P176" s="3"/>
      <c r="Q176" s="3"/>
      <c r="R176" s="3"/>
      <c r="S176" s="3"/>
      <c r="T176" s="3"/>
      <c r="U176" s="3"/>
    </row>
  </sheetData>
  <phoneticPr fontId="0" type="noConversion"/>
  <pageMargins left="0.75" right="0.75" top="1" bottom="1" header="0.5" footer="0.5"/>
  <pageSetup orientation="portrait"/>
  <headerFooter alignWithMargins="0"/>
  <drawing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indexed="53"/>
  </sheetPr>
  <dimension ref="A1:U40"/>
  <sheetViews>
    <sheetView zoomScale="150" zoomScaleNormal="150" workbookViewId="0">
      <selection activeCell="C22" sqref="C22"/>
    </sheetView>
  </sheetViews>
  <sheetFormatPr defaultColWidth="8.81640625" defaultRowHeight="12.5"/>
  <cols>
    <col min="1" max="1" width="25.81640625" customWidth="1"/>
    <col min="7" max="7" width="14.453125" customWidth="1"/>
    <col min="8" max="8" width="5.453125" customWidth="1"/>
    <col min="11" max="11" width="10.54296875" customWidth="1"/>
    <col min="14" max="14" width="7" customWidth="1"/>
  </cols>
  <sheetData>
    <row r="1" spans="1:21" ht="18.5" thickBot="1">
      <c r="A1" s="625" t="s">
        <v>114</v>
      </c>
      <c r="B1" s="626"/>
      <c r="C1" s="627"/>
      <c r="D1" s="627"/>
      <c r="E1" s="627"/>
      <c r="F1" s="627"/>
      <c r="G1" s="627"/>
      <c r="H1" s="627"/>
      <c r="I1" s="627"/>
      <c r="J1" s="627"/>
      <c r="K1" s="627"/>
      <c r="L1" s="627"/>
      <c r="M1" s="627"/>
      <c r="N1" s="627"/>
      <c r="O1" s="627"/>
      <c r="P1" s="627"/>
      <c r="Q1" s="627"/>
      <c r="R1" s="127"/>
      <c r="S1" s="127"/>
      <c r="T1" s="127"/>
      <c r="U1" s="127"/>
    </row>
    <row r="2" spans="1:21" ht="18">
      <c r="A2" s="758"/>
      <c r="B2" s="557"/>
      <c r="C2" s="759"/>
      <c r="D2" s="759"/>
      <c r="E2" s="759"/>
      <c r="F2" s="759"/>
      <c r="G2" s="759"/>
      <c r="H2" s="759"/>
      <c r="I2" s="759"/>
      <c r="J2" s="759"/>
      <c r="K2" s="759"/>
      <c r="L2" s="759"/>
      <c r="M2" s="759"/>
      <c r="N2" s="759"/>
      <c r="O2" s="759"/>
      <c r="P2" s="759"/>
      <c r="Q2" s="759"/>
      <c r="R2" s="101"/>
      <c r="S2" s="101"/>
      <c r="T2" s="101"/>
      <c r="U2" s="101"/>
    </row>
    <row r="3" spans="1:21" ht="18">
      <c r="A3" s="758"/>
      <c r="B3" s="557"/>
      <c r="C3" s="759"/>
      <c r="D3" s="759"/>
      <c r="E3" s="759"/>
      <c r="F3" s="759"/>
      <c r="G3" s="759"/>
      <c r="H3" s="759"/>
      <c r="I3" s="759"/>
      <c r="J3" s="759"/>
      <c r="K3" s="759"/>
      <c r="L3" s="759"/>
      <c r="M3" s="759"/>
      <c r="N3" s="759"/>
      <c r="O3" s="759"/>
      <c r="P3" s="759"/>
      <c r="Q3" s="759"/>
      <c r="R3" s="101"/>
      <c r="S3" s="101"/>
      <c r="T3" s="101"/>
      <c r="U3" s="101"/>
    </row>
    <row r="4" spans="1:21" ht="18">
      <c r="A4" s="758"/>
      <c r="B4" s="557"/>
      <c r="C4" s="760" t="s">
        <v>715</v>
      </c>
      <c r="D4" s="760" t="s">
        <v>877</v>
      </c>
      <c r="E4" s="759"/>
      <c r="F4" s="759"/>
      <c r="G4" s="826" t="str">
        <f>Orbit!D4</f>
        <v>LEO</v>
      </c>
      <c r="H4" s="759"/>
      <c r="I4" s="759"/>
      <c r="J4" s="224" t="s">
        <v>760</v>
      </c>
      <c r="K4" s="123"/>
      <c r="L4" s="124"/>
      <c r="M4" s="759"/>
      <c r="N4" s="759"/>
      <c r="O4" s="759"/>
      <c r="P4" s="759"/>
      <c r="Q4" s="759"/>
      <c r="R4" s="101"/>
      <c r="S4" s="101"/>
      <c r="T4" s="101"/>
      <c r="U4" s="101"/>
    </row>
    <row r="5" spans="1:21" ht="13.5" customHeight="1">
      <c r="A5" s="758"/>
      <c r="B5" s="557"/>
      <c r="C5" s="759"/>
      <c r="D5" s="759"/>
      <c r="E5" s="759"/>
      <c r="F5" s="759"/>
      <c r="G5" s="759"/>
      <c r="H5" s="759"/>
      <c r="I5" s="759"/>
      <c r="J5" s="759"/>
      <c r="K5" s="759"/>
      <c r="L5" s="759"/>
      <c r="M5" s="759"/>
      <c r="N5" s="759"/>
      <c r="O5" s="759"/>
      <c r="P5" s="759"/>
      <c r="Q5" s="759"/>
      <c r="R5" s="101"/>
      <c r="S5" s="101"/>
      <c r="T5" s="101"/>
      <c r="U5" s="101"/>
    </row>
    <row r="6" spans="1:21" ht="13.5" customHeight="1">
      <c r="A6" s="758"/>
      <c r="B6" s="557"/>
      <c r="C6" s="760" t="s">
        <v>354</v>
      </c>
      <c r="D6" s="759"/>
      <c r="E6" s="759"/>
      <c r="F6" s="759"/>
      <c r="G6" s="827">
        <f>Orbit!G4</f>
        <v>1454.4339505997034</v>
      </c>
      <c r="H6" s="777" t="s">
        <v>720</v>
      </c>
      <c r="I6" s="759"/>
      <c r="J6" s="759"/>
      <c r="K6" s="759"/>
      <c r="L6" s="759"/>
      <c r="M6" s="759"/>
      <c r="N6" s="759"/>
      <c r="O6" s="759"/>
      <c r="P6" s="759"/>
      <c r="Q6" s="759"/>
      <c r="R6" s="101"/>
      <c r="S6" s="101"/>
      <c r="T6" s="101"/>
      <c r="U6" s="101"/>
    </row>
    <row r="7" spans="1:21" ht="13.5" customHeight="1">
      <c r="A7" s="758"/>
      <c r="B7" s="241" t="s">
        <v>140</v>
      </c>
      <c r="C7" s="759"/>
      <c r="D7" s="759"/>
      <c r="E7" s="759"/>
      <c r="F7" s="759"/>
      <c r="G7" s="759"/>
      <c r="H7" s="759"/>
      <c r="I7" s="759"/>
      <c r="J7" s="759"/>
      <c r="K7" s="759"/>
      <c r="L7" s="759"/>
      <c r="M7" s="759"/>
      <c r="N7" s="759"/>
      <c r="O7" s="759"/>
      <c r="P7" s="759"/>
      <c r="Q7" s="759"/>
      <c r="R7" s="101"/>
      <c r="S7" s="101"/>
      <c r="T7" s="101"/>
      <c r="U7" s="101"/>
    </row>
    <row r="8" spans="1:21" ht="13.5" customHeight="1">
      <c r="A8" s="758"/>
      <c r="B8" s="557"/>
      <c r="C8" s="759"/>
      <c r="D8" s="759"/>
      <c r="E8" s="759"/>
      <c r="F8" s="759"/>
      <c r="G8" s="759"/>
      <c r="H8" s="759"/>
      <c r="I8" s="759"/>
      <c r="J8" s="759"/>
      <c r="K8" s="759"/>
      <c r="L8" s="759"/>
      <c r="M8" s="759"/>
      <c r="N8" s="759"/>
      <c r="O8" s="759"/>
      <c r="P8" s="759"/>
      <c r="Q8" s="759"/>
      <c r="R8" s="101"/>
      <c r="S8" s="101"/>
      <c r="T8" s="101"/>
      <c r="U8" s="101"/>
    </row>
    <row r="9" spans="1:21" ht="13" thickBot="1">
      <c r="A9" s="3" t="s">
        <v>715</v>
      </c>
      <c r="B9" s="220" t="s">
        <v>842</v>
      </c>
      <c r="C9" s="50" t="s">
        <v>753</v>
      </c>
      <c r="D9" s="3"/>
      <c r="E9" s="50" t="s">
        <v>840</v>
      </c>
      <c r="F9" s="3"/>
      <c r="G9" s="50" t="s">
        <v>756</v>
      </c>
      <c r="H9" s="3"/>
      <c r="I9" s="3"/>
      <c r="J9" s="3"/>
      <c r="K9" s="3"/>
      <c r="L9" s="3"/>
      <c r="M9" s="3"/>
      <c r="N9" s="3"/>
      <c r="O9" s="3"/>
      <c r="P9" s="3"/>
      <c r="Q9" s="3"/>
      <c r="R9" s="3"/>
      <c r="S9" s="3"/>
      <c r="T9" s="3"/>
      <c r="U9" s="3"/>
    </row>
    <row r="10" spans="1:21" ht="13.5" thickBot="1">
      <c r="A10" s="763" t="s">
        <v>758</v>
      </c>
      <c r="B10" s="219" t="s">
        <v>111</v>
      </c>
      <c r="C10" s="223">
        <v>145.80000000000001</v>
      </c>
      <c r="D10" s="124" t="s">
        <v>754</v>
      </c>
      <c r="E10" s="32">
        <f>299.8/C10</f>
        <v>2.056241426611797</v>
      </c>
      <c r="F10" s="3" t="s">
        <v>755</v>
      </c>
      <c r="G10" s="33">
        <f>22+20*LOG10(($G$6*1000)/E10)</f>
        <v>138.99239798253504</v>
      </c>
      <c r="H10" s="3" t="s">
        <v>757</v>
      </c>
      <c r="I10" s="3" t="s">
        <v>116</v>
      </c>
      <c r="J10" s="3"/>
      <c r="K10" s="3"/>
      <c r="L10" s="383">
        <v>4</v>
      </c>
      <c r="M10" s="222">
        <f>INDEX(C10:C13,L10,1)</f>
        <v>436.5</v>
      </c>
      <c r="N10" s="221" t="s">
        <v>754</v>
      </c>
      <c r="O10" s="3"/>
      <c r="P10" s="3"/>
      <c r="Q10" s="3"/>
      <c r="R10" s="3"/>
      <c r="S10" s="3"/>
      <c r="T10" s="3"/>
      <c r="U10" s="3"/>
    </row>
    <row r="11" spans="1:21">
      <c r="A11" s="50"/>
      <c r="B11" s="219" t="s">
        <v>112</v>
      </c>
      <c r="C11" s="223">
        <v>437.5</v>
      </c>
      <c r="D11" s="124" t="s">
        <v>754</v>
      </c>
      <c r="E11" s="32">
        <f t="shared" ref="E11:E18" si="0">299.8/C11</f>
        <v>0.6852571428571429</v>
      </c>
      <c r="F11" s="3" t="s">
        <v>755</v>
      </c>
      <c r="G11" s="33">
        <f>22+20*LOG10(($G$6*1000)/E11)</f>
        <v>148.53680865006257</v>
      </c>
      <c r="H11" s="3" t="s">
        <v>757</v>
      </c>
      <c r="I11" s="3"/>
      <c r="J11" s="3"/>
      <c r="K11" s="3"/>
      <c r="L11" s="3"/>
      <c r="M11" s="3"/>
      <c r="N11" s="3"/>
      <c r="O11" s="3"/>
      <c r="P11" s="3"/>
      <c r="Q11" s="3"/>
      <c r="R11" s="3"/>
      <c r="S11" s="3"/>
      <c r="T11" s="3"/>
      <c r="U11" s="3"/>
    </row>
    <row r="12" spans="1:21" ht="13">
      <c r="A12" s="50"/>
      <c r="B12" s="219" t="s">
        <v>113</v>
      </c>
      <c r="C12" s="223">
        <v>1269.9000000000001</v>
      </c>
      <c r="D12" s="124" t="s">
        <v>754</v>
      </c>
      <c r="E12" s="32">
        <f t="shared" si="0"/>
        <v>0.23608158122686826</v>
      </c>
      <c r="F12" s="3" t="s">
        <v>755</v>
      </c>
      <c r="G12" s="33">
        <f>22+20*LOG10(($G$6*1000)/E12)</f>
        <v>157.79263796676938</v>
      </c>
      <c r="H12" s="3" t="s">
        <v>757</v>
      </c>
      <c r="I12" s="3" t="s">
        <v>90</v>
      </c>
      <c r="J12" s="3"/>
      <c r="K12" s="3"/>
      <c r="L12" s="3"/>
      <c r="M12" s="761">
        <f>INDEX(G10:G13,L10,1)</f>
        <v>148.5169324637277</v>
      </c>
      <c r="N12" s="762" t="s">
        <v>757</v>
      </c>
      <c r="O12" s="3"/>
      <c r="P12" s="3"/>
      <c r="Q12" s="3"/>
      <c r="R12" s="3"/>
      <c r="S12" s="3"/>
      <c r="T12" s="3"/>
      <c r="U12" s="3"/>
    </row>
    <row r="13" spans="1:21">
      <c r="A13" s="228" t="s">
        <v>118</v>
      </c>
      <c r="B13" s="219" t="s">
        <v>117</v>
      </c>
      <c r="C13" s="225">
        <v>436.5</v>
      </c>
      <c r="D13" s="226" t="s">
        <v>754</v>
      </c>
      <c r="E13" s="32">
        <f>299.8/C13</f>
        <v>0.6868270332187858</v>
      </c>
      <c r="F13" s="3" t="s">
        <v>755</v>
      </c>
      <c r="G13" s="33">
        <f>22+20*LOG10(($G$6*1000)/E13)</f>
        <v>148.5169324637277</v>
      </c>
      <c r="H13" s="3" t="s">
        <v>757</v>
      </c>
      <c r="I13" s="3"/>
      <c r="J13" s="3"/>
      <c r="K13" s="3"/>
      <c r="L13" s="3"/>
      <c r="M13" s="3"/>
      <c r="N13" s="3"/>
      <c r="O13" s="3"/>
      <c r="P13" s="3"/>
      <c r="Q13" s="3"/>
      <c r="R13" s="3"/>
      <c r="S13" s="3"/>
      <c r="T13" s="3"/>
      <c r="U13" s="3"/>
    </row>
    <row r="14" spans="1:21" ht="13">
      <c r="A14" s="50"/>
      <c r="B14" s="219"/>
      <c r="C14" s="65"/>
      <c r="D14" s="3"/>
      <c r="E14" s="32" t="s">
        <v>715</v>
      </c>
      <c r="F14" s="3"/>
      <c r="G14" s="33"/>
      <c r="H14" s="3"/>
      <c r="I14" s="767"/>
      <c r="J14" s="101"/>
      <c r="K14" s="101"/>
      <c r="L14" s="3"/>
      <c r="M14" s="3"/>
      <c r="N14" s="3"/>
      <c r="O14" s="3"/>
      <c r="P14" s="3"/>
      <c r="Q14" s="3"/>
      <c r="R14" s="3"/>
      <c r="S14" s="3"/>
      <c r="T14" s="3"/>
      <c r="U14" s="3"/>
    </row>
    <row r="15" spans="1:21" ht="13.5" thickBot="1">
      <c r="A15" s="3"/>
      <c r="B15" s="79"/>
      <c r="C15" s="218" t="s">
        <v>715</v>
      </c>
      <c r="D15" s="3"/>
      <c r="E15" s="32" t="s">
        <v>715</v>
      </c>
      <c r="F15" s="3"/>
      <c r="G15" s="3"/>
      <c r="H15" s="3"/>
      <c r="I15" s="34" t="s">
        <v>715</v>
      </c>
      <c r="J15" s="3"/>
      <c r="K15" s="3"/>
      <c r="L15" s="3"/>
      <c r="M15" s="3"/>
      <c r="N15" s="3"/>
      <c r="O15" s="3"/>
      <c r="P15" s="3"/>
      <c r="Q15" s="3"/>
      <c r="R15" s="3"/>
      <c r="S15" s="3"/>
      <c r="T15" s="3"/>
      <c r="U15" s="3"/>
    </row>
    <row r="16" spans="1:21" ht="13.5" thickBot="1">
      <c r="A16" s="763" t="s">
        <v>759</v>
      </c>
      <c r="B16" s="219" t="s">
        <v>111</v>
      </c>
      <c r="C16" s="223">
        <v>145.80000000000001</v>
      </c>
      <c r="D16" s="124" t="s">
        <v>754</v>
      </c>
      <c r="E16" s="32">
        <f t="shared" si="0"/>
        <v>2.056241426611797</v>
      </c>
      <c r="F16" s="3" t="s">
        <v>755</v>
      </c>
      <c r="G16" s="33">
        <f>22+20*LOG10(($G$6*1000)/E16)</f>
        <v>138.99239798253504</v>
      </c>
      <c r="H16" s="3" t="s">
        <v>757</v>
      </c>
      <c r="I16" s="3" t="s">
        <v>115</v>
      </c>
      <c r="J16" s="3"/>
      <c r="K16" s="3"/>
      <c r="L16" s="383">
        <v>4</v>
      </c>
      <c r="M16" s="222">
        <f>INDEX(C16:C19,L16,1)</f>
        <v>436.5</v>
      </c>
      <c r="N16" s="221" t="s">
        <v>754</v>
      </c>
      <c r="O16" s="3"/>
      <c r="P16" s="3"/>
      <c r="Q16" s="3"/>
      <c r="R16" s="3"/>
      <c r="S16" s="3"/>
      <c r="T16" s="3"/>
      <c r="U16" s="3"/>
    </row>
    <row r="17" spans="1:21">
      <c r="A17" s="3"/>
      <c r="B17" s="220" t="s">
        <v>112</v>
      </c>
      <c r="C17" s="223">
        <v>437.45</v>
      </c>
      <c r="D17" s="124" t="s">
        <v>754</v>
      </c>
      <c r="E17" s="32">
        <f t="shared" si="0"/>
        <v>0.68533546691050407</v>
      </c>
      <c r="F17" s="3" t="s">
        <v>755</v>
      </c>
      <c r="G17" s="33">
        <f>22+20*LOG10(($G$6*1000)/E17)</f>
        <v>148.53581592023258</v>
      </c>
      <c r="H17" s="3" t="s">
        <v>757</v>
      </c>
      <c r="I17" s="3"/>
      <c r="J17" s="3"/>
      <c r="K17" s="3"/>
      <c r="L17" s="3"/>
      <c r="M17" s="3"/>
      <c r="N17" s="3"/>
      <c r="O17" s="3"/>
      <c r="P17" s="3"/>
      <c r="Q17" s="3"/>
      <c r="R17" s="3"/>
      <c r="S17" s="3"/>
      <c r="T17" s="3"/>
      <c r="U17" s="3"/>
    </row>
    <row r="18" spans="1:21" ht="13">
      <c r="A18" s="3"/>
      <c r="B18" s="220" t="s">
        <v>113</v>
      </c>
      <c r="C18" s="223">
        <v>2405</v>
      </c>
      <c r="D18" s="124" t="s">
        <v>754</v>
      </c>
      <c r="E18" s="32">
        <f t="shared" si="0"/>
        <v>0.12465696465696466</v>
      </c>
      <c r="F18" s="3" t="s">
        <v>755</v>
      </c>
      <c r="G18" s="33">
        <f>22+20*LOG10(($G$6*1000)/E18)</f>
        <v>163.33954911709293</v>
      </c>
      <c r="H18" s="3" t="s">
        <v>757</v>
      </c>
      <c r="I18" s="3" t="s">
        <v>90</v>
      </c>
      <c r="J18" s="3"/>
      <c r="K18" s="3"/>
      <c r="L18" s="3"/>
      <c r="M18" s="761">
        <f>INDEX(G16:G19,L16,1)</f>
        <v>148.5169324637277</v>
      </c>
      <c r="N18" s="762" t="s">
        <v>757</v>
      </c>
      <c r="O18" s="3"/>
      <c r="P18" s="3"/>
      <c r="Q18" s="3"/>
      <c r="R18" s="3"/>
      <c r="S18" s="3"/>
      <c r="T18" s="3"/>
      <c r="U18" s="3"/>
    </row>
    <row r="19" spans="1:21">
      <c r="A19" s="228" t="s">
        <v>118</v>
      </c>
      <c r="B19" s="220" t="s">
        <v>117</v>
      </c>
      <c r="C19" s="227">
        <v>436.5</v>
      </c>
      <c r="D19" s="226" t="s">
        <v>754</v>
      </c>
      <c r="E19" s="32">
        <f>299.8/C19</f>
        <v>0.6868270332187858</v>
      </c>
      <c r="F19" s="3" t="s">
        <v>755</v>
      </c>
      <c r="G19" s="33">
        <f>22+20*LOG10(($G$6*1000)/E19)</f>
        <v>148.5169324637277</v>
      </c>
      <c r="H19" s="3" t="s">
        <v>757</v>
      </c>
      <c r="I19" s="3" t="s">
        <v>715</v>
      </c>
      <c r="J19" s="3"/>
      <c r="K19" s="3"/>
      <c r="L19" s="3"/>
      <c r="M19" s="3"/>
      <c r="N19" s="3"/>
      <c r="O19" s="3"/>
      <c r="P19" s="3"/>
      <c r="Q19" s="3"/>
      <c r="R19" s="3"/>
      <c r="S19" s="3"/>
      <c r="T19" s="3"/>
      <c r="U19" s="3"/>
    </row>
    <row r="20" spans="1:21">
      <c r="A20" s="3"/>
      <c r="B20" s="3"/>
      <c r="C20" s="3"/>
      <c r="D20" s="3"/>
      <c r="E20" s="3" t="s">
        <v>715</v>
      </c>
      <c r="F20" s="3"/>
      <c r="G20" s="3"/>
      <c r="H20" s="3"/>
      <c r="I20" s="3"/>
      <c r="J20" s="3" t="s">
        <v>715</v>
      </c>
      <c r="K20" s="3"/>
      <c r="L20" s="3"/>
      <c r="M20" s="3"/>
      <c r="N20" s="3"/>
      <c r="O20" s="3"/>
      <c r="P20" s="3"/>
      <c r="Q20" s="3"/>
      <c r="R20" s="3"/>
      <c r="S20" s="3"/>
      <c r="T20" s="3"/>
      <c r="U20" s="3"/>
    </row>
    <row r="21" spans="1:21">
      <c r="A21" s="3" t="s">
        <v>715</v>
      </c>
      <c r="B21" s="3"/>
      <c r="C21" s="3"/>
      <c r="D21" s="3"/>
      <c r="E21" s="3"/>
      <c r="F21" s="3"/>
      <c r="G21" s="3"/>
      <c r="H21" s="3"/>
      <c r="I21" s="3"/>
      <c r="J21" s="3"/>
      <c r="K21" s="3"/>
      <c r="L21" s="3"/>
      <c r="M21" s="3"/>
      <c r="N21" s="3"/>
      <c r="O21" s="3"/>
      <c r="P21" s="3"/>
      <c r="Q21" s="3"/>
      <c r="R21" s="3"/>
      <c r="S21" s="3"/>
      <c r="T21" s="3"/>
      <c r="U21" s="3"/>
    </row>
    <row r="22" spans="1:21">
      <c r="A22" s="3"/>
      <c r="B22" s="31" t="s">
        <v>715</v>
      </c>
      <c r="C22" s="3"/>
      <c r="D22" s="3"/>
      <c r="E22" s="3"/>
      <c r="F22" s="3"/>
      <c r="G22" s="3"/>
      <c r="H22" s="3" t="s">
        <v>715</v>
      </c>
      <c r="I22" s="3"/>
      <c r="J22" s="3"/>
      <c r="K22" s="3"/>
      <c r="L22" s="3"/>
      <c r="M22" s="3"/>
      <c r="N22" s="3"/>
      <c r="O22" s="3"/>
      <c r="P22" s="3"/>
      <c r="Q22" s="3"/>
      <c r="R22" s="3"/>
      <c r="S22" s="3"/>
      <c r="T22" s="3"/>
      <c r="U22" s="3"/>
    </row>
    <row r="23" spans="1:21">
      <c r="A23" s="3"/>
      <c r="B23" s="3" t="s">
        <v>715</v>
      </c>
      <c r="C23" s="3"/>
      <c r="D23" s="3"/>
      <c r="E23" s="3"/>
      <c r="F23" s="3"/>
      <c r="G23" s="3"/>
      <c r="H23" s="3"/>
      <c r="I23" s="3"/>
      <c r="J23" s="3"/>
      <c r="K23" s="3"/>
      <c r="L23" s="3"/>
      <c r="M23" s="3"/>
      <c r="N23" s="3"/>
      <c r="O23" s="3"/>
      <c r="P23" s="3"/>
      <c r="Q23" s="3"/>
      <c r="R23" s="3"/>
      <c r="S23" s="3"/>
      <c r="T23" s="3"/>
      <c r="U23" s="3"/>
    </row>
    <row r="24" spans="1:21">
      <c r="A24" s="3"/>
      <c r="B24" s="3"/>
      <c r="C24" s="3"/>
      <c r="D24" s="3"/>
      <c r="E24" s="3"/>
      <c r="F24" s="3"/>
      <c r="G24" s="3"/>
      <c r="H24" s="3"/>
      <c r="I24" s="3"/>
      <c r="J24" s="3"/>
      <c r="K24" s="3"/>
      <c r="L24" s="3"/>
      <c r="M24" s="3"/>
      <c r="N24" s="3"/>
      <c r="O24" s="3"/>
      <c r="P24" s="3"/>
      <c r="Q24" s="3"/>
      <c r="R24" s="3"/>
      <c r="S24" s="3"/>
      <c r="T24" s="3"/>
      <c r="U24" s="3"/>
    </row>
    <row r="25" spans="1:21">
      <c r="A25" s="3"/>
      <c r="B25" s="3"/>
      <c r="C25" s="3"/>
      <c r="D25" s="3"/>
      <c r="E25" s="3"/>
      <c r="F25" s="3"/>
      <c r="G25" s="3"/>
      <c r="H25" s="3"/>
      <c r="I25" s="3"/>
      <c r="J25" s="3"/>
      <c r="K25" s="3"/>
      <c r="L25" s="3"/>
      <c r="M25" s="3"/>
      <c r="N25" s="3"/>
      <c r="O25" s="3"/>
      <c r="P25" s="3"/>
      <c r="Q25" s="3"/>
      <c r="R25" s="3"/>
      <c r="S25" s="3"/>
      <c r="T25" s="3"/>
      <c r="U25" s="3"/>
    </row>
    <row r="26" spans="1:21">
      <c r="A26" s="3"/>
      <c r="B26" s="3"/>
      <c r="C26" s="3"/>
      <c r="D26" s="3"/>
      <c r="E26" s="3"/>
      <c r="F26" s="3"/>
      <c r="G26" s="3"/>
      <c r="H26" s="3"/>
      <c r="I26" s="3"/>
      <c r="J26" s="3"/>
      <c r="K26" s="3"/>
      <c r="L26" s="3"/>
      <c r="M26" s="3"/>
      <c r="N26" s="3"/>
      <c r="O26" s="3"/>
      <c r="P26" s="3"/>
      <c r="Q26" s="3"/>
      <c r="R26" s="3"/>
      <c r="S26" s="3"/>
      <c r="T26" s="3"/>
      <c r="U26" s="3"/>
    </row>
    <row r="27" spans="1:21">
      <c r="A27" s="3"/>
      <c r="B27" s="3"/>
      <c r="C27" s="3"/>
      <c r="D27" s="3"/>
      <c r="E27" s="3"/>
      <c r="F27" s="3"/>
      <c r="G27" s="3"/>
      <c r="H27" s="3"/>
      <c r="I27" s="3"/>
      <c r="J27" s="3"/>
      <c r="K27" s="3"/>
      <c r="L27" s="3"/>
      <c r="M27" s="3"/>
      <c r="N27" s="3"/>
      <c r="O27" s="3"/>
      <c r="P27" s="3"/>
      <c r="Q27" s="3"/>
      <c r="R27" s="3"/>
      <c r="S27" s="3"/>
      <c r="T27" s="3"/>
      <c r="U27" s="3"/>
    </row>
    <row r="28" spans="1:21">
      <c r="A28" s="3"/>
      <c r="B28" s="3"/>
      <c r="C28" s="3"/>
      <c r="D28" s="3"/>
      <c r="E28" s="3"/>
      <c r="F28" s="3" t="s">
        <v>715</v>
      </c>
      <c r="G28" s="3"/>
      <c r="H28" s="3"/>
      <c r="I28" s="3"/>
      <c r="J28" s="3"/>
      <c r="K28" s="3"/>
      <c r="L28" s="3"/>
      <c r="M28" s="3"/>
      <c r="N28" s="3"/>
      <c r="O28" s="3"/>
      <c r="P28" s="3"/>
      <c r="Q28" s="3"/>
      <c r="R28" s="3"/>
      <c r="S28" s="3"/>
      <c r="T28" s="3"/>
      <c r="U28" s="3"/>
    </row>
    <row r="29" spans="1:21">
      <c r="A29" s="3"/>
      <c r="B29" s="3"/>
      <c r="C29" s="3"/>
      <c r="D29" s="3"/>
      <c r="E29" s="3"/>
      <c r="F29" s="3"/>
      <c r="G29" s="3"/>
      <c r="H29" s="3"/>
      <c r="I29" s="3"/>
      <c r="J29" s="3"/>
      <c r="K29" s="3"/>
      <c r="L29" s="3"/>
      <c r="M29" s="3"/>
      <c r="N29" s="3"/>
      <c r="O29" s="3"/>
      <c r="P29" s="3"/>
      <c r="Q29" s="3"/>
      <c r="R29" s="3"/>
      <c r="S29" s="3"/>
      <c r="T29" s="3"/>
      <c r="U29" s="3"/>
    </row>
    <row r="30" spans="1:21">
      <c r="A30" s="3"/>
      <c r="B30" s="3"/>
      <c r="C30" s="3"/>
      <c r="D30" s="3"/>
      <c r="E30" s="3"/>
      <c r="F30" s="3"/>
      <c r="G30" s="3"/>
      <c r="H30" s="3"/>
      <c r="I30" s="3"/>
      <c r="J30" s="3"/>
      <c r="K30" s="3"/>
      <c r="L30" s="3"/>
      <c r="M30" s="3"/>
      <c r="N30" s="3"/>
      <c r="O30" s="3"/>
      <c r="P30" s="3"/>
      <c r="Q30" s="3"/>
      <c r="R30" s="3"/>
      <c r="S30" s="3"/>
      <c r="T30" s="3"/>
      <c r="U30" s="3"/>
    </row>
    <row r="31" spans="1:21">
      <c r="A31" s="3"/>
      <c r="B31" s="3"/>
      <c r="C31" s="3"/>
      <c r="D31" s="3"/>
      <c r="E31" s="3"/>
      <c r="F31" s="3"/>
      <c r="G31" s="3"/>
      <c r="H31" s="3"/>
      <c r="I31" s="3"/>
      <c r="J31" s="3"/>
      <c r="K31" s="3"/>
      <c r="L31" s="3"/>
      <c r="M31" s="3"/>
      <c r="N31" s="3"/>
      <c r="O31" s="3"/>
      <c r="P31" s="3"/>
      <c r="Q31" s="3"/>
      <c r="R31" s="3"/>
      <c r="S31" s="3"/>
      <c r="T31" s="3"/>
      <c r="U31" s="3"/>
    </row>
    <row r="32" spans="1:21">
      <c r="A32" s="3"/>
      <c r="B32" s="3"/>
      <c r="C32" s="3"/>
      <c r="D32" s="3"/>
      <c r="E32" s="3"/>
      <c r="F32" s="3"/>
      <c r="G32" s="3"/>
      <c r="H32" s="3"/>
      <c r="I32" s="3"/>
      <c r="J32" s="3"/>
      <c r="K32" s="3"/>
      <c r="L32" s="3"/>
      <c r="M32" s="3"/>
      <c r="N32" s="3"/>
      <c r="O32" s="3"/>
      <c r="P32" s="3"/>
      <c r="Q32" s="3"/>
      <c r="R32" s="3"/>
      <c r="S32" s="3"/>
      <c r="T32" s="3"/>
      <c r="U32" s="3"/>
    </row>
    <row r="33" spans="1:21">
      <c r="A33" s="3"/>
      <c r="B33" s="3"/>
      <c r="C33" s="3"/>
      <c r="D33" s="3"/>
      <c r="E33" s="3"/>
      <c r="F33" s="3"/>
      <c r="G33" s="3"/>
      <c r="H33" s="3"/>
      <c r="I33" s="3"/>
      <c r="J33" s="3"/>
      <c r="K33" s="3"/>
      <c r="L33" s="3"/>
      <c r="M33" s="3"/>
      <c r="N33" s="3"/>
      <c r="O33" s="3"/>
      <c r="P33" s="3"/>
      <c r="Q33" s="3"/>
      <c r="R33" s="3"/>
      <c r="S33" s="3"/>
      <c r="T33" s="3"/>
      <c r="U33" s="3"/>
    </row>
    <row r="34" spans="1:21">
      <c r="A34" s="3"/>
      <c r="B34" s="3"/>
      <c r="C34" s="3"/>
      <c r="D34" s="3"/>
      <c r="E34" s="3"/>
      <c r="F34" s="3"/>
      <c r="G34" s="3"/>
      <c r="H34" s="3"/>
      <c r="I34" s="3"/>
      <c r="J34" s="3"/>
      <c r="K34" s="3"/>
      <c r="L34" s="3"/>
      <c r="M34" s="3"/>
      <c r="N34" s="3"/>
      <c r="O34" s="3"/>
      <c r="P34" s="3"/>
      <c r="Q34" s="3"/>
      <c r="R34" s="3"/>
      <c r="S34" s="3"/>
      <c r="T34" s="3"/>
      <c r="U34" s="3"/>
    </row>
    <row r="35" spans="1:21">
      <c r="A35" s="3"/>
      <c r="B35" s="3"/>
      <c r="C35" s="3"/>
      <c r="D35" s="3"/>
      <c r="E35" s="3"/>
      <c r="F35" s="3"/>
      <c r="G35" s="3"/>
      <c r="H35" s="3"/>
      <c r="I35" s="3"/>
      <c r="J35" s="3"/>
      <c r="K35" s="3"/>
      <c r="L35" s="3"/>
      <c r="M35" s="3"/>
      <c r="N35" s="3"/>
      <c r="O35" s="3"/>
      <c r="P35" s="3"/>
      <c r="Q35" s="3"/>
      <c r="R35" s="3"/>
      <c r="S35" s="3"/>
      <c r="T35" s="3"/>
      <c r="U35" s="3"/>
    </row>
    <row r="36" spans="1:21">
      <c r="A36" s="3"/>
      <c r="B36" s="3"/>
      <c r="C36" s="3"/>
      <c r="D36" s="3"/>
      <c r="E36" s="3"/>
      <c r="F36" s="3"/>
      <c r="G36" s="3"/>
      <c r="H36" s="3"/>
      <c r="I36" s="3"/>
      <c r="J36" s="3"/>
      <c r="K36" s="3"/>
      <c r="L36" s="3"/>
      <c r="M36" s="3"/>
      <c r="N36" s="3"/>
      <c r="O36" s="3"/>
      <c r="P36" s="3"/>
      <c r="Q36" s="3"/>
      <c r="R36" s="3"/>
      <c r="S36" s="3"/>
      <c r="T36" s="3"/>
      <c r="U36" s="3"/>
    </row>
    <row r="37" spans="1:21">
      <c r="A37" s="3"/>
      <c r="B37" s="3"/>
      <c r="C37" s="3"/>
      <c r="D37" s="3"/>
      <c r="E37" s="3"/>
      <c r="F37" s="3"/>
      <c r="G37" s="3"/>
      <c r="H37" s="3"/>
      <c r="I37" s="3"/>
      <c r="J37" s="3"/>
      <c r="K37" s="3"/>
      <c r="L37" s="3"/>
      <c r="M37" s="3"/>
      <c r="N37" s="3"/>
      <c r="O37" s="3"/>
      <c r="P37" s="3"/>
      <c r="Q37" s="3"/>
      <c r="R37" s="3"/>
      <c r="S37" s="3"/>
      <c r="T37" s="3"/>
      <c r="U37" s="3"/>
    </row>
    <row r="38" spans="1:21">
      <c r="A38" s="3"/>
      <c r="B38" s="3"/>
      <c r="C38" s="3"/>
      <c r="D38" s="3"/>
      <c r="E38" s="3"/>
      <c r="F38" s="3"/>
      <c r="G38" s="3"/>
      <c r="H38" s="3"/>
      <c r="I38" s="3"/>
      <c r="J38" s="3"/>
      <c r="K38" s="3"/>
      <c r="L38" s="3"/>
      <c r="M38" s="3"/>
      <c r="N38" s="3"/>
      <c r="O38" s="3"/>
      <c r="P38" s="3"/>
      <c r="Q38" s="3"/>
      <c r="R38" s="3"/>
      <c r="S38" s="3"/>
      <c r="T38" s="3"/>
      <c r="U38" s="3"/>
    </row>
    <row r="39" spans="1:21">
      <c r="A39" s="3"/>
      <c r="B39" s="3"/>
      <c r="C39" s="3"/>
      <c r="D39" s="3"/>
      <c r="E39" s="3"/>
      <c r="F39" s="3"/>
      <c r="G39" s="3"/>
      <c r="H39" s="3"/>
      <c r="I39" s="3"/>
      <c r="J39" s="3"/>
      <c r="K39" s="3"/>
      <c r="L39" s="3"/>
      <c r="M39" s="3"/>
      <c r="N39" s="3"/>
      <c r="O39" s="3"/>
      <c r="P39" s="3"/>
      <c r="Q39" s="3"/>
      <c r="R39" s="3"/>
      <c r="S39" s="3"/>
      <c r="T39" s="3"/>
      <c r="U39" s="3"/>
    </row>
    <row r="40" spans="1:21">
      <c r="A40" s="3"/>
      <c r="B40" s="3"/>
      <c r="C40" s="3"/>
      <c r="D40" s="3"/>
      <c r="E40" s="3"/>
      <c r="F40" s="3"/>
      <c r="G40" s="3"/>
      <c r="H40" s="3"/>
      <c r="I40" s="3"/>
      <c r="J40" s="3"/>
      <c r="K40" s="3"/>
      <c r="L40" s="3"/>
      <c r="M40" s="3"/>
      <c r="N40" s="3"/>
      <c r="O40" s="3"/>
      <c r="P40" s="3"/>
      <c r="Q40" s="3"/>
      <c r="R40" s="3"/>
      <c r="S40" s="3"/>
      <c r="T40" s="3"/>
      <c r="U40" s="3"/>
    </row>
  </sheetData>
  <phoneticPr fontId="26" type="noConversion"/>
  <pageMargins left="0.75" right="0.75" top="1" bottom="1" header="0.5" footer="0.5"/>
  <pageSetup paperSize="9" orientation="portrait" horizontalDpi="4294967293" verticalDpi="0"/>
  <headerFooter alignWithMargins="0"/>
  <drawing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indexed="13"/>
    <pageSetUpPr fitToPage="1"/>
  </sheetPr>
  <dimension ref="A1:P107"/>
  <sheetViews>
    <sheetView zoomScale="120" zoomScaleNormal="120" workbookViewId="0">
      <selection activeCell="I4" sqref="I4"/>
    </sheetView>
  </sheetViews>
  <sheetFormatPr defaultColWidth="8.81640625" defaultRowHeight="12.5"/>
  <cols>
    <col min="4" max="4" width="23.453125" customWidth="1"/>
    <col min="5" max="5" width="9.54296875" bestFit="1" customWidth="1"/>
    <col min="6" max="6" width="9.453125" customWidth="1"/>
    <col min="7" max="7" width="9" customWidth="1"/>
    <col min="9" max="9" width="10.54296875" customWidth="1"/>
    <col min="11" max="11" width="15.90625" customWidth="1"/>
  </cols>
  <sheetData>
    <row r="1" spans="1:16" ht="18.5" thickBot="1">
      <c r="A1" s="125" t="s">
        <v>175</v>
      </c>
      <c r="B1" s="127"/>
      <c r="C1" s="127"/>
      <c r="D1" s="127"/>
      <c r="E1" s="127"/>
      <c r="F1" s="611" t="str">
        <f>'Title Page'!F3</f>
        <v>OreSat - CS0</v>
      </c>
      <c r="G1" s="127"/>
      <c r="H1" s="127"/>
      <c r="I1" s="127"/>
      <c r="J1" s="610" t="str">
        <f>'Title Page'!F23</f>
        <v>2019 June 21</v>
      </c>
      <c r="K1" s="127"/>
      <c r="L1" s="127"/>
      <c r="M1" s="127"/>
      <c r="N1" s="127"/>
      <c r="O1" s="127"/>
      <c r="P1" s="127"/>
    </row>
    <row r="2" spans="1:16">
      <c r="A2" s="3"/>
      <c r="B2" s="3"/>
      <c r="C2" s="3"/>
      <c r="D2" s="3"/>
      <c r="E2" s="3" t="s">
        <v>715</v>
      </c>
      <c r="F2" s="3"/>
      <c r="G2" s="3"/>
      <c r="H2" s="3"/>
      <c r="I2" s="3"/>
      <c r="J2" s="3"/>
      <c r="K2" s="3"/>
      <c r="L2" s="3"/>
      <c r="M2" s="3"/>
      <c r="N2" s="3"/>
      <c r="O2" s="3"/>
      <c r="P2" s="3"/>
    </row>
    <row r="3" spans="1:16">
      <c r="A3" s="3"/>
      <c r="B3" s="3"/>
      <c r="C3" s="3"/>
      <c r="D3" s="3"/>
      <c r="E3" s="3"/>
      <c r="F3" s="3"/>
      <c r="G3" s="3"/>
      <c r="H3" s="3"/>
      <c r="I3" s="3"/>
      <c r="J3" s="3"/>
      <c r="K3" s="3"/>
      <c r="L3" s="3"/>
      <c r="M3" s="3"/>
      <c r="N3" s="3"/>
      <c r="O3" s="3"/>
      <c r="P3" s="3"/>
    </row>
    <row r="4" spans="1:16" ht="15.5">
      <c r="A4" s="3"/>
      <c r="B4" s="272" t="s">
        <v>157</v>
      </c>
      <c r="C4" s="189"/>
      <c r="D4" s="189"/>
      <c r="E4" s="189"/>
      <c r="F4" s="189"/>
      <c r="G4" s="190"/>
      <c r="H4" s="3"/>
      <c r="I4" s="3"/>
      <c r="J4" s="466"/>
      <c r="K4" s="3"/>
      <c r="L4" s="3"/>
      <c r="M4" s="3"/>
      <c r="N4" s="3"/>
      <c r="O4" s="3"/>
      <c r="P4" s="3"/>
    </row>
    <row r="5" spans="1:16" ht="15.5">
      <c r="A5" s="3"/>
      <c r="B5" s="558"/>
      <c r="C5" s="101"/>
      <c r="D5" s="101"/>
      <c r="E5" s="101"/>
      <c r="F5" s="101"/>
      <c r="G5" s="101"/>
      <c r="H5" s="3"/>
      <c r="I5" s="3"/>
      <c r="J5" s="466"/>
      <c r="K5" s="3"/>
      <c r="L5" s="3"/>
      <c r="M5" s="3"/>
      <c r="N5" s="3"/>
      <c r="O5" s="3"/>
      <c r="P5" s="3"/>
    </row>
    <row r="6" spans="1:16">
      <c r="A6" s="3"/>
      <c r="B6" s="345" t="s">
        <v>250</v>
      </c>
      <c r="C6" s="3"/>
      <c r="D6" s="3"/>
      <c r="E6" s="3"/>
      <c r="F6" s="3"/>
      <c r="G6" s="3"/>
      <c r="H6" s="3"/>
      <c r="I6" s="3"/>
      <c r="J6" s="3"/>
      <c r="K6" s="3"/>
      <c r="L6" s="3"/>
      <c r="M6" s="3"/>
      <c r="N6" s="3"/>
      <c r="O6" s="3"/>
      <c r="P6" s="3"/>
    </row>
    <row r="7" spans="1:16">
      <c r="A7" s="3"/>
      <c r="B7" s="3"/>
      <c r="C7" s="3"/>
      <c r="D7" s="3"/>
      <c r="E7" s="3"/>
      <c r="F7" s="3"/>
      <c r="G7" s="3"/>
      <c r="H7" s="3"/>
      <c r="I7" s="3"/>
      <c r="J7" s="3"/>
      <c r="K7" s="3"/>
      <c r="L7" s="3"/>
      <c r="M7" s="3"/>
      <c r="N7" s="3"/>
      <c r="O7" s="3"/>
      <c r="P7" s="3"/>
    </row>
    <row r="8" spans="1:16" ht="13">
      <c r="A8" s="3"/>
      <c r="B8" s="3"/>
      <c r="C8" s="352" t="s">
        <v>159</v>
      </c>
      <c r="D8" s="329"/>
      <c r="E8" s="329"/>
      <c r="F8" s="329"/>
      <c r="G8" s="329"/>
      <c r="H8" s="329"/>
      <c r="I8" s="329"/>
      <c r="J8" s="329"/>
      <c r="K8" s="910"/>
      <c r="L8" s="3"/>
      <c r="M8" s="3"/>
      <c r="N8" s="3"/>
      <c r="O8" s="3"/>
      <c r="P8" s="3"/>
    </row>
    <row r="9" spans="1:16">
      <c r="A9" s="3"/>
      <c r="B9" s="3"/>
      <c r="C9" s="330"/>
      <c r="D9" s="331"/>
      <c r="E9" s="331"/>
      <c r="F9" s="331"/>
      <c r="G9" s="331"/>
      <c r="H9" s="331"/>
      <c r="I9" s="331"/>
      <c r="J9" s="331"/>
      <c r="K9" s="323"/>
      <c r="L9" s="3"/>
      <c r="M9" s="3"/>
      <c r="N9" s="3"/>
      <c r="O9" s="3"/>
      <c r="P9" s="3"/>
    </row>
    <row r="10" spans="1:16">
      <c r="A10" s="3"/>
      <c r="B10" s="3"/>
      <c r="C10" s="330"/>
      <c r="D10" s="331"/>
      <c r="E10" s="331"/>
      <c r="F10" s="331"/>
      <c r="G10" s="331"/>
      <c r="H10" s="331"/>
      <c r="I10" s="331"/>
      <c r="J10" s="331"/>
      <c r="K10" s="323"/>
      <c r="L10" s="3"/>
      <c r="M10" s="3"/>
      <c r="N10" s="3"/>
      <c r="O10" s="3"/>
      <c r="P10" s="3"/>
    </row>
    <row r="11" spans="1:16">
      <c r="A11" s="3"/>
      <c r="B11" s="3"/>
      <c r="C11" s="330"/>
      <c r="D11" s="331"/>
      <c r="E11" s="331"/>
      <c r="F11" s="331"/>
      <c r="G11" s="331"/>
      <c r="H11" s="331"/>
      <c r="I11" s="331"/>
      <c r="J11" s="331"/>
      <c r="K11" s="323"/>
      <c r="L11" s="3"/>
      <c r="M11" s="3"/>
      <c r="N11" s="3"/>
      <c r="O11" s="3"/>
      <c r="P11" s="3"/>
    </row>
    <row r="12" spans="1:16">
      <c r="A12" s="3"/>
      <c r="B12" s="3"/>
      <c r="C12" s="330"/>
      <c r="D12" s="331"/>
      <c r="E12" s="331"/>
      <c r="F12" s="331"/>
      <c r="G12" s="331"/>
      <c r="H12" s="331"/>
      <c r="I12" s="331"/>
      <c r="J12" s="331"/>
      <c r="K12" s="323"/>
      <c r="L12" s="3"/>
      <c r="M12" s="3"/>
      <c r="N12" s="3"/>
      <c r="O12" s="3"/>
      <c r="P12" s="3"/>
    </row>
    <row r="13" spans="1:16">
      <c r="A13" s="3"/>
      <c r="B13" s="3"/>
      <c r="C13" s="330"/>
      <c r="D13" s="331"/>
      <c r="E13" s="331"/>
      <c r="F13" s="331"/>
      <c r="G13" s="331"/>
      <c r="H13" s="331"/>
      <c r="I13" s="331"/>
      <c r="J13" s="331"/>
      <c r="K13" s="323"/>
      <c r="L13" s="3"/>
      <c r="M13" s="3"/>
      <c r="N13" s="3"/>
      <c r="O13" s="3"/>
      <c r="P13" s="3"/>
    </row>
    <row r="14" spans="1:16">
      <c r="A14" s="3"/>
      <c r="B14" s="3"/>
      <c r="C14" s="330"/>
      <c r="D14" s="331"/>
      <c r="E14" s="331"/>
      <c r="F14" s="331"/>
      <c r="G14" s="331"/>
      <c r="H14" s="331"/>
      <c r="I14" s="331"/>
      <c r="J14" s="331"/>
      <c r="K14" s="323"/>
      <c r="L14" s="3"/>
      <c r="M14" s="3"/>
      <c r="N14" s="3"/>
      <c r="O14" s="3"/>
      <c r="P14" s="3"/>
    </row>
    <row r="15" spans="1:16">
      <c r="A15" s="3"/>
      <c r="B15" s="3"/>
      <c r="C15" s="330"/>
      <c r="D15" s="331"/>
      <c r="E15" s="331"/>
      <c r="F15" s="331"/>
      <c r="G15" s="331"/>
      <c r="H15" s="331"/>
      <c r="I15" s="331"/>
      <c r="J15" s="331"/>
      <c r="K15" s="323"/>
      <c r="L15" s="3"/>
      <c r="M15" s="3"/>
      <c r="N15" s="3"/>
      <c r="O15" s="3"/>
      <c r="P15" s="3"/>
    </row>
    <row r="16" spans="1:16">
      <c r="A16" s="3"/>
      <c r="B16" s="3"/>
      <c r="C16" s="330" t="s">
        <v>985</v>
      </c>
      <c r="D16" s="331"/>
      <c r="E16" s="342">
        <v>2</v>
      </c>
      <c r="F16" s="331" t="s">
        <v>160</v>
      </c>
      <c r="G16" s="402">
        <f>10*LOG10(E16)</f>
        <v>3.0102999566398121</v>
      </c>
      <c r="H16" s="331" t="s">
        <v>161</v>
      </c>
      <c r="I16" s="328">
        <f>G16+30</f>
        <v>33.010299956639813</v>
      </c>
      <c r="J16" s="331" t="s">
        <v>783</v>
      </c>
      <c r="K16" s="323" t="s">
        <v>715</v>
      </c>
      <c r="L16" s="3"/>
      <c r="M16" s="3"/>
      <c r="N16" s="3"/>
      <c r="O16" s="3"/>
      <c r="P16" s="3"/>
    </row>
    <row r="17" spans="1:16">
      <c r="A17" s="3"/>
      <c r="B17" s="3"/>
      <c r="C17" s="330"/>
      <c r="D17" s="331"/>
      <c r="E17" s="331"/>
      <c r="F17" s="331"/>
      <c r="G17" s="331"/>
      <c r="H17" s="331"/>
      <c r="I17" s="331"/>
      <c r="J17" s="331"/>
      <c r="K17" s="323"/>
      <c r="L17" s="3"/>
      <c r="M17" s="3"/>
      <c r="N17" s="3"/>
      <c r="O17" s="3"/>
      <c r="P17" s="3"/>
    </row>
    <row r="18" spans="1:16">
      <c r="A18" s="3"/>
      <c r="B18" s="3"/>
      <c r="C18" s="330" t="s">
        <v>201</v>
      </c>
      <c r="D18" s="331"/>
      <c r="E18" s="331"/>
      <c r="F18" s="331" t="s">
        <v>715</v>
      </c>
      <c r="G18" s="331"/>
      <c r="H18" s="331"/>
      <c r="I18" s="331"/>
      <c r="J18" s="331"/>
      <c r="K18" s="323"/>
      <c r="L18" s="3"/>
      <c r="M18" s="3"/>
      <c r="N18" s="3"/>
      <c r="O18" s="3"/>
      <c r="P18" s="3"/>
    </row>
    <row r="19" spans="1:16">
      <c r="A19" s="3"/>
      <c r="B19" s="3"/>
      <c r="C19" s="330"/>
      <c r="D19" s="901" t="s">
        <v>177</v>
      </c>
      <c r="E19" s="459" t="s">
        <v>952</v>
      </c>
      <c r="F19" s="902"/>
      <c r="G19" s="331"/>
      <c r="H19" s="331"/>
      <c r="I19" s="342">
        <v>0.3</v>
      </c>
      <c r="J19" s="331" t="s">
        <v>755</v>
      </c>
      <c r="K19" s="323"/>
      <c r="L19" s="3"/>
      <c r="M19" s="3"/>
      <c r="N19" s="3"/>
      <c r="O19" s="3"/>
      <c r="P19" s="3"/>
    </row>
    <row r="20" spans="1:16">
      <c r="A20" s="3"/>
      <c r="B20" s="3"/>
      <c r="C20" s="330"/>
      <c r="D20" s="901" t="s">
        <v>178</v>
      </c>
      <c r="E20" s="459" t="s">
        <v>952</v>
      </c>
      <c r="F20" s="902"/>
      <c r="G20" s="331"/>
      <c r="H20" s="331"/>
      <c r="I20" s="342">
        <v>0.61</v>
      </c>
      <c r="J20" s="331" t="s">
        <v>755</v>
      </c>
      <c r="K20" s="323"/>
      <c r="L20" s="3"/>
      <c r="M20" s="3"/>
      <c r="N20" s="3"/>
      <c r="O20" s="3"/>
      <c r="P20" s="3"/>
    </row>
    <row r="21" spans="1:16">
      <c r="A21" s="3"/>
      <c r="B21" s="3"/>
      <c r="C21" s="330"/>
      <c r="D21" s="901" t="s">
        <v>179</v>
      </c>
      <c r="E21" s="459" t="s">
        <v>956</v>
      </c>
      <c r="F21" s="902"/>
      <c r="G21" s="331"/>
      <c r="H21" s="331"/>
      <c r="I21" s="342">
        <v>8.26</v>
      </c>
      <c r="J21" s="331" t="s">
        <v>755</v>
      </c>
      <c r="K21" s="323"/>
      <c r="L21" s="3"/>
      <c r="M21" s="3"/>
      <c r="N21" s="3"/>
      <c r="O21" s="3"/>
      <c r="P21" s="3"/>
    </row>
    <row r="22" spans="1:16">
      <c r="A22" s="3"/>
      <c r="B22" s="3"/>
      <c r="C22" s="330"/>
      <c r="D22" s="916" t="s">
        <v>989</v>
      </c>
      <c r="E22" s="459" t="s">
        <v>956</v>
      </c>
      <c r="F22" s="902"/>
      <c r="G22" s="331"/>
      <c r="H22" s="331"/>
      <c r="I22" s="342">
        <v>1</v>
      </c>
      <c r="J22" s="331" t="s">
        <v>755</v>
      </c>
      <c r="K22" s="323"/>
      <c r="L22" s="3"/>
      <c r="M22" s="3"/>
      <c r="N22" s="3"/>
      <c r="O22" s="3"/>
      <c r="P22" s="3"/>
    </row>
    <row r="23" spans="1:16">
      <c r="A23" s="3"/>
      <c r="B23" s="3"/>
      <c r="C23" s="330"/>
      <c r="D23" s="331"/>
      <c r="E23" s="331"/>
      <c r="F23" s="331" t="s">
        <v>715</v>
      </c>
      <c r="G23" s="331"/>
      <c r="H23" s="331"/>
      <c r="I23" s="331"/>
      <c r="J23" s="331" t="s">
        <v>715</v>
      </c>
      <c r="K23" s="323"/>
      <c r="L23" s="3"/>
      <c r="M23" s="3"/>
      <c r="N23" s="3"/>
      <c r="O23" s="3"/>
      <c r="P23" s="3"/>
    </row>
    <row r="24" spans="1:16">
      <c r="A24" s="3"/>
      <c r="B24" s="3"/>
      <c r="C24" s="330"/>
      <c r="D24" s="915" t="s">
        <v>991</v>
      </c>
      <c r="E24" s="331"/>
      <c r="F24" s="331" t="s">
        <v>715</v>
      </c>
      <c r="G24" s="331"/>
      <c r="H24" s="331"/>
      <c r="I24" s="632">
        <f>SUM(I19:I22)</f>
        <v>10.17</v>
      </c>
      <c r="J24" s="331" t="s">
        <v>755</v>
      </c>
      <c r="K24" s="323"/>
      <c r="L24" s="3"/>
      <c r="M24" s="3"/>
      <c r="N24" s="3"/>
      <c r="O24" s="3"/>
      <c r="P24" s="3"/>
    </row>
    <row r="25" spans="1:16">
      <c r="A25" s="3"/>
      <c r="B25" s="3"/>
      <c r="C25" s="330"/>
      <c r="D25" s="331"/>
      <c r="E25" s="331"/>
      <c r="F25" s="331"/>
      <c r="G25" s="331"/>
      <c r="H25" s="331"/>
      <c r="I25" s="632"/>
      <c r="J25" s="331"/>
      <c r="K25" s="323"/>
      <c r="L25" s="3"/>
      <c r="M25" s="3"/>
      <c r="N25" s="3"/>
      <c r="O25" s="3"/>
      <c r="P25" s="3"/>
    </row>
    <row r="26" spans="1:16">
      <c r="A26" s="3"/>
      <c r="B26" s="3"/>
      <c r="C26" s="330"/>
      <c r="D26" s="900" t="s">
        <v>947</v>
      </c>
      <c r="E26" s="331"/>
      <c r="F26" s="331"/>
      <c r="G26" s="331"/>
      <c r="H26" s="331"/>
      <c r="I26" s="331"/>
      <c r="J26" s="331"/>
      <c r="K26" s="323"/>
      <c r="L26" s="3"/>
      <c r="M26" s="3"/>
      <c r="N26" s="3"/>
      <c r="O26" s="3"/>
      <c r="P26" s="3"/>
    </row>
    <row r="27" spans="1:16">
      <c r="A27" s="3"/>
      <c r="B27" s="3"/>
      <c r="C27" s="330"/>
      <c r="D27" s="331" t="s">
        <v>948</v>
      </c>
      <c r="E27" s="907">
        <v>0.3</v>
      </c>
      <c r="F27" s="908" t="s">
        <v>958</v>
      </c>
      <c r="G27" s="631">
        <f>Frequency!$M$10</f>
        <v>436.5</v>
      </c>
      <c r="H27" s="331" t="s">
        <v>172</v>
      </c>
      <c r="I27" s="971">
        <f>I19*E27</f>
        <v>0.09</v>
      </c>
      <c r="J27" s="331" t="s">
        <v>757</v>
      </c>
      <c r="K27" s="323"/>
      <c r="L27" s="3"/>
      <c r="M27" s="3"/>
      <c r="N27" s="3"/>
      <c r="O27" s="3"/>
      <c r="P27" s="3"/>
    </row>
    <row r="28" spans="1:16">
      <c r="A28" s="3"/>
      <c r="B28" s="3"/>
      <c r="C28" s="330"/>
      <c r="D28" s="900" t="s">
        <v>949</v>
      </c>
      <c r="E28" s="907">
        <v>0.3</v>
      </c>
      <c r="F28" s="908" t="s">
        <v>958</v>
      </c>
      <c r="G28" s="631">
        <f>Frequency!$M$10</f>
        <v>436.5</v>
      </c>
      <c r="H28" s="331" t="s">
        <v>172</v>
      </c>
      <c r="I28" s="971">
        <f>I20*E28</f>
        <v>0.183</v>
      </c>
      <c r="J28" s="331" t="s">
        <v>757</v>
      </c>
      <c r="K28" s="323"/>
      <c r="L28" s="3"/>
      <c r="M28" s="3"/>
      <c r="N28" s="3"/>
      <c r="O28" s="3"/>
      <c r="P28" s="3"/>
    </row>
    <row r="29" spans="1:16">
      <c r="A29" s="3"/>
      <c r="B29" s="3"/>
      <c r="C29" s="330"/>
      <c r="D29" s="900" t="s">
        <v>950</v>
      </c>
      <c r="E29" s="907">
        <v>7.5899999999999995E-2</v>
      </c>
      <c r="F29" s="908" t="s">
        <v>958</v>
      </c>
      <c r="G29" s="631">
        <f>Frequency!$M$10</f>
        <v>436.5</v>
      </c>
      <c r="H29" s="331" t="s">
        <v>172</v>
      </c>
      <c r="I29" s="971">
        <f>I21*E29</f>
        <v>0.62693399999999999</v>
      </c>
      <c r="J29" s="331" t="s">
        <v>757</v>
      </c>
      <c r="K29" s="323"/>
      <c r="L29" s="3"/>
      <c r="M29" s="3"/>
      <c r="N29" s="3"/>
      <c r="O29" s="3"/>
      <c r="P29" s="3"/>
    </row>
    <row r="30" spans="1:16">
      <c r="A30" s="3"/>
      <c r="B30" s="3"/>
      <c r="C30" s="330"/>
      <c r="D30" s="915" t="s">
        <v>990</v>
      </c>
      <c r="E30" s="907">
        <v>7.5899999999999995E-2</v>
      </c>
      <c r="F30" s="908" t="s">
        <v>958</v>
      </c>
      <c r="G30" s="631">
        <f>Frequency!$M$10</f>
        <v>436.5</v>
      </c>
      <c r="H30" s="331" t="s">
        <v>172</v>
      </c>
      <c r="I30" s="971">
        <f>I22*E30</f>
        <v>7.5899999999999995E-2</v>
      </c>
      <c r="J30" s="331" t="s">
        <v>757</v>
      </c>
      <c r="K30" s="323"/>
      <c r="L30" s="3"/>
      <c r="M30" s="3"/>
      <c r="N30" s="3"/>
      <c r="O30" s="3"/>
      <c r="P30" s="3"/>
    </row>
    <row r="31" spans="1:16">
      <c r="A31" s="3"/>
      <c r="B31" s="3"/>
      <c r="C31" s="330"/>
      <c r="D31" s="331"/>
      <c r="E31" s="335"/>
      <c r="F31" s="331"/>
      <c r="G31" s="333"/>
      <c r="H31" s="331"/>
      <c r="I31" s="333"/>
      <c r="J31" s="331"/>
      <c r="K31" s="323"/>
      <c r="L31" s="3"/>
      <c r="M31" s="633"/>
      <c r="N31" s="3"/>
      <c r="O31" s="3"/>
      <c r="P31" s="3"/>
    </row>
    <row r="32" spans="1:16">
      <c r="A32" s="3"/>
      <c r="B32" s="3"/>
      <c r="C32" s="330"/>
      <c r="D32" s="915" t="s">
        <v>992</v>
      </c>
      <c r="E32" s="335"/>
      <c r="F32" s="331"/>
      <c r="G32" s="333"/>
      <c r="H32" s="331"/>
      <c r="I32" s="970">
        <f>SUM(I27:I30)</f>
        <v>0.97583399999999998</v>
      </c>
      <c r="J32" s="900" t="s">
        <v>757</v>
      </c>
      <c r="K32" s="323"/>
      <c r="L32" s="3"/>
      <c r="M32" s="633"/>
      <c r="N32" s="3"/>
      <c r="O32" s="3"/>
      <c r="P32" s="3"/>
    </row>
    <row r="33" spans="1:16">
      <c r="A33" s="3"/>
      <c r="B33" s="3"/>
      <c r="C33" s="330"/>
      <c r="D33" s="331"/>
      <c r="E33" s="335"/>
      <c r="F33" s="331"/>
      <c r="G33" s="333"/>
      <c r="H33" s="331"/>
      <c r="I33" s="333"/>
      <c r="J33" s="331"/>
      <c r="K33" s="323"/>
      <c r="L33" s="3"/>
      <c r="M33" s="633"/>
      <c r="N33" s="3"/>
      <c r="O33" s="3"/>
      <c r="P33" s="3"/>
    </row>
    <row r="34" spans="1:16">
      <c r="A34" s="3"/>
      <c r="B34" s="3"/>
      <c r="C34" s="330" t="s">
        <v>173</v>
      </c>
      <c r="D34" s="331"/>
      <c r="E34" s="335"/>
      <c r="F34" s="331"/>
      <c r="G34" s="333"/>
      <c r="H34" s="331"/>
      <c r="I34" s="333"/>
      <c r="J34" s="331"/>
      <c r="K34" s="323"/>
      <c r="L34" s="3"/>
      <c r="M34" s="3"/>
      <c r="N34" s="3"/>
      <c r="O34" s="3"/>
      <c r="P34" s="3"/>
    </row>
    <row r="35" spans="1:16">
      <c r="A35" s="3"/>
      <c r="B35" s="3"/>
      <c r="C35" s="330"/>
      <c r="D35" s="331"/>
      <c r="E35" s="335"/>
      <c r="F35" s="331"/>
      <c r="G35" s="333"/>
      <c r="H35" s="331"/>
      <c r="I35" s="333"/>
      <c r="J35" s="331"/>
      <c r="K35" s="323"/>
      <c r="L35" s="3"/>
      <c r="M35" s="3"/>
      <c r="N35" s="3"/>
      <c r="O35" s="3"/>
      <c r="P35" s="3"/>
    </row>
    <row r="36" spans="1:16">
      <c r="A36" s="3"/>
      <c r="B36" s="3"/>
      <c r="C36" s="330"/>
      <c r="D36" s="331" t="s">
        <v>170</v>
      </c>
      <c r="E36" s="264">
        <v>8</v>
      </c>
      <c r="F36" s="900" t="s">
        <v>957</v>
      </c>
      <c r="G36" s="331"/>
      <c r="H36" s="331"/>
      <c r="I36" s="904">
        <f>E36*0.05</f>
        <v>0.4</v>
      </c>
      <c r="J36" s="331" t="s">
        <v>757</v>
      </c>
      <c r="K36" s="323"/>
      <c r="L36" s="79"/>
      <c r="M36" s="3"/>
      <c r="N36" s="3"/>
      <c r="O36" s="3"/>
      <c r="P36" s="3"/>
    </row>
    <row r="37" spans="1:16">
      <c r="A37" s="3"/>
      <c r="B37" s="3"/>
      <c r="C37" s="330"/>
      <c r="D37" s="331" t="s">
        <v>171</v>
      </c>
      <c r="E37" s="334" t="s">
        <v>183</v>
      </c>
      <c r="F37" s="459" t="s">
        <v>955</v>
      </c>
      <c r="G37" s="366"/>
      <c r="H37" s="331"/>
      <c r="I37" s="342">
        <v>0.1</v>
      </c>
      <c r="J37" s="331" t="s">
        <v>757</v>
      </c>
      <c r="K37" s="913" t="s">
        <v>986</v>
      </c>
      <c r="L37" s="3"/>
      <c r="M37" s="3"/>
      <c r="N37" s="3"/>
      <c r="O37" s="3"/>
      <c r="P37" s="3"/>
    </row>
    <row r="38" spans="1:16">
      <c r="A38" s="3"/>
      <c r="B38" s="3"/>
      <c r="C38" s="330"/>
      <c r="D38" s="331" t="s">
        <v>171</v>
      </c>
      <c r="E38" s="334" t="s">
        <v>183</v>
      </c>
      <c r="F38" s="459" t="s">
        <v>972</v>
      </c>
      <c r="G38" s="366"/>
      <c r="H38" s="331"/>
      <c r="I38" s="128">
        <v>0.1</v>
      </c>
      <c r="J38" s="331" t="s">
        <v>757</v>
      </c>
      <c r="K38" s="913"/>
      <c r="L38" s="3"/>
      <c r="M38" s="3"/>
      <c r="N38" s="3"/>
      <c r="O38" s="3"/>
      <c r="P38" s="3"/>
    </row>
    <row r="39" spans="1:16">
      <c r="A39" s="3"/>
      <c r="B39" s="3"/>
      <c r="C39" s="330"/>
      <c r="D39" s="331" t="s">
        <v>171</v>
      </c>
      <c r="E39" s="334" t="s">
        <v>183</v>
      </c>
      <c r="F39" s="459" t="s">
        <v>984</v>
      </c>
      <c r="G39" s="366"/>
      <c r="H39" s="331"/>
      <c r="I39" s="342">
        <v>0.5</v>
      </c>
      <c r="J39" s="331" t="s">
        <v>757</v>
      </c>
      <c r="K39" s="913" t="s">
        <v>983</v>
      </c>
      <c r="L39" s="3"/>
      <c r="M39" s="3"/>
      <c r="N39" s="3"/>
      <c r="O39" s="3"/>
      <c r="P39" s="3"/>
    </row>
    <row r="40" spans="1:16">
      <c r="A40" s="3"/>
      <c r="B40" s="3"/>
      <c r="C40" s="330"/>
      <c r="D40" s="331"/>
      <c r="E40" s="334"/>
      <c r="F40" s="336"/>
      <c r="G40" s="331"/>
      <c r="H40" s="331"/>
      <c r="I40" s="332"/>
      <c r="J40" s="331"/>
      <c r="K40" s="323"/>
      <c r="L40" s="3"/>
      <c r="M40" s="3"/>
      <c r="N40" s="3"/>
      <c r="O40" s="3"/>
      <c r="P40" s="3"/>
    </row>
    <row r="41" spans="1:16">
      <c r="A41" s="3"/>
      <c r="B41" s="3"/>
      <c r="C41" s="330"/>
      <c r="D41" s="331" t="s">
        <v>176</v>
      </c>
      <c r="E41" s="331"/>
      <c r="F41" s="331" t="s">
        <v>432</v>
      </c>
      <c r="G41" s="331"/>
      <c r="H41" s="331"/>
      <c r="I41" s="128">
        <v>0.54</v>
      </c>
      <c r="J41" s="331" t="s">
        <v>757</v>
      </c>
      <c r="K41" s="924" t="s">
        <v>1071</v>
      </c>
      <c r="L41" s="3"/>
      <c r="M41" s="3"/>
      <c r="N41" s="3"/>
      <c r="O41" s="3"/>
      <c r="P41" s="3"/>
    </row>
    <row r="42" spans="1:16">
      <c r="A42" s="3"/>
      <c r="B42" s="3"/>
      <c r="C42" s="330"/>
      <c r="D42" s="331"/>
      <c r="E42" s="331"/>
      <c r="F42" s="331"/>
      <c r="G42" s="331"/>
      <c r="H42" s="331"/>
      <c r="I42" s="332"/>
      <c r="J42" s="331"/>
      <c r="K42" s="924" t="s">
        <v>1074</v>
      </c>
      <c r="L42" s="3"/>
      <c r="M42" s="3"/>
      <c r="N42" s="3"/>
      <c r="O42" s="3"/>
      <c r="P42" s="3"/>
    </row>
    <row r="43" spans="1:16" ht="13">
      <c r="A43" s="3"/>
      <c r="B43" s="3"/>
      <c r="C43" s="330" t="s">
        <v>174</v>
      </c>
      <c r="D43" s="331"/>
      <c r="E43" s="331"/>
      <c r="F43" s="331"/>
      <c r="G43" s="331"/>
      <c r="H43" s="331"/>
      <c r="I43" s="654">
        <f>SUM(I32:I41)</f>
        <v>2.6158340000000004</v>
      </c>
      <c r="J43" s="331" t="s">
        <v>757</v>
      </c>
      <c r="K43" s="323"/>
      <c r="L43" s="3"/>
      <c r="M43" s="3"/>
      <c r="N43" s="3"/>
      <c r="O43" s="3"/>
      <c r="P43" s="3"/>
    </row>
    <row r="44" spans="1:16">
      <c r="A44" s="3"/>
      <c r="B44" s="3"/>
      <c r="C44" s="330"/>
      <c r="D44" s="331"/>
      <c r="E44" s="331"/>
      <c r="F44" s="331"/>
      <c r="G44" s="331"/>
      <c r="H44" s="331"/>
      <c r="I44" s="337"/>
      <c r="J44" s="331"/>
      <c r="K44" s="323"/>
      <c r="L44" s="3"/>
      <c r="M44" s="3"/>
      <c r="N44" s="3"/>
      <c r="O44" s="3"/>
      <c r="P44" s="3"/>
    </row>
    <row r="45" spans="1:16">
      <c r="A45" s="3"/>
      <c r="B45" s="3"/>
      <c r="C45" s="330" t="s">
        <v>181</v>
      </c>
      <c r="D45" s="331"/>
      <c r="E45" s="331"/>
      <c r="F45" s="331"/>
      <c r="G45" s="331"/>
      <c r="H45" s="331"/>
      <c r="I45" s="327">
        <f>G16-I43</f>
        <v>0.39446595663981165</v>
      </c>
      <c r="J45" s="331" t="s">
        <v>782</v>
      </c>
      <c r="K45" s="323"/>
      <c r="L45" s="3"/>
      <c r="M45" s="3"/>
      <c r="N45" s="3"/>
      <c r="O45" s="3"/>
      <c r="P45" s="3"/>
    </row>
    <row r="46" spans="1:16">
      <c r="A46" s="3"/>
      <c r="B46" s="3"/>
      <c r="C46" s="338"/>
      <c r="D46" s="339"/>
      <c r="E46" s="339"/>
      <c r="F46" s="339"/>
      <c r="G46" s="339"/>
      <c r="H46" s="339"/>
      <c r="I46" s="339"/>
      <c r="J46" s="339"/>
      <c r="K46" s="340"/>
      <c r="L46" s="3"/>
      <c r="M46" s="3"/>
      <c r="N46" s="3"/>
      <c r="O46" s="3"/>
      <c r="P46" s="3"/>
    </row>
    <row r="47" spans="1:16">
      <c r="A47" s="3"/>
      <c r="B47" s="3"/>
      <c r="C47" s="3"/>
      <c r="D47" s="3"/>
      <c r="E47" s="3"/>
      <c r="F47" s="3"/>
      <c r="G47" s="3"/>
      <c r="H47" s="3"/>
      <c r="I47" s="3"/>
      <c r="J47" s="3"/>
      <c r="K47" s="3"/>
      <c r="L47" s="3"/>
      <c r="M47" s="3"/>
      <c r="N47" s="3"/>
      <c r="O47" s="3"/>
      <c r="P47" s="3"/>
    </row>
    <row r="48" spans="1:16">
      <c r="A48" s="3"/>
      <c r="B48" s="3"/>
      <c r="C48" s="3"/>
      <c r="D48" s="3"/>
      <c r="E48" s="3"/>
      <c r="F48" s="3"/>
      <c r="G48" s="3"/>
      <c r="H48" s="3"/>
      <c r="I48" s="3"/>
      <c r="J48" s="3"/>
      <c r="K48" s="3"/>
      <c r="L48" s="3"/>
      <c r="M48" s="3"/>
      <c r="N48" s="3"/>
      <c r="O48" s="3"/>
      <c r="P48" s="3"/>
    </row>
    <row r="49" spans="1:16" ht="15.5">
      <c r="A49" s="3"/>
      <c r="B49" s="272" t="s">
        <v>158</v>
      </c>
      <c r="C49" s="189"/>
      <c r="D49" s="189"/>
      <c r="E49" s="189"/>
      <c r="F49" s="189"/>
      <c r="G49" s="190"/>
      <c r="H49" s="3"/>
      <c r="I49" s="3"/>
      <c r="J49" s="3"/>
      <c r="K49" s="3"/>
      <c r="L49" s="3"/>
      <c r="M49" s="3" t="s">
        <v>715</v>
      </c>
      <c r="N49" s="3"/>
      <c r="O49" s="3"/>
      <c r="P49" s="3"/>
    </row>
    <row r="50" spans="1:16">
      <c r="A50" s="3"/>
      <c r="B50" s="3"/>
      <c r="C50" s="3"/>
      <c r="D50" s="3"/>
      <c r="E50" s="3"/>
      <c r="F50" s="3"/>
      <c r="G50" s="3"/>
      <c r="H50" s="3"/>
      <c r="I50" s="3"/>
      <c r="J50" s="3"/>
      <c r="K50" s="3"/>
      <c r="L50" s="3"/>
      <c r="M50" s="3"/>
      <c r="N50" s="3"/>
      <c r="O50" s="3"/>
      <c r="P50" s="3"/>
    </row>
    <row r="51" spans="1:16">
      <c r="A51" s="3"/>
      <c r="B51" s="3"/>
      <c r="C51" s="3"/>
      <c r="D51" s="3"/>
      <c r="E51" s="3"/>
      <c r="F51" s="3"/>
      <c r="G51" s="3"/>
      <c r="H51" s="3"/>
      <c r="I51" s="3"/>
      <c r="J51" s="3"/>
      <c r="K51" s="3"/>
      <c r="L51" s="3"/>
      <c r="M51" s="3"/>
      <c r="N51" s="3"/>
      <c r="O51" s="3"/>
      <c r="P51" s="3"/>
    </row>
    <row r="52" spans="1:16" ht="13">
      <c r="A52" s="3"/>
      <c r="B52" s="3"/>
      <c r="C52" s="1051" t="s">
        <v>993</v>
      </c>
      <c r="D52" s="1052"/>
      <c r="E52" s="1052"/>
      <c r="F52" s="180"/>
      <c r="G52" s="180"/>
      <c r="H52" s="180"/>
      <c r="I52" s="180"/>
      <c r="J52" s="180"/>
      <c r="K52" s="917"/>
      <c r="L52" s="3"/>
      <c r="M52" s="3"/>
      <c r="N52" s="3"/>
      <c r="O52" s="3"/>
      <c r="P52" s="3"/>
    </row>
    <row r="53" spans="1:16">
      <c r="A53" s="3"/>
      <c r="B53" s="3"/>
      <c r="C53" s="177"/>
      <c r="D53" s="141"/>
      <c r="E53" s="141"/>
      <c r="F53" s="141"/>
      <c r="G53" s="141"/>
      <c r="H53" s="141"/>
      <c r="I53" s="141"/>
      <c r="J53" s="141"/>
      <c r="K53" s="182"/>
      <c r="L53" s="3"/>
      <c r="M53" s="3"/>
      <c r="N53" s="3"/>
      <c r="O53" s="3"/>
      <c r="P53" s="3"/>
    </row>
    <row r="54" spans="1:16">
      <c r="A54" s="3"/>
      <c r="B54" s="3"/>
      <c r="C54" s="177"/>
      <c r="D54" s="142"/>
      <c r="E54" s="141"/>
      <c r="F54" s="192"/>
      <c r="G54" s="141"/>
      <c r="H54" s="141"/>
      <c r="I54" s="141"/>
      <c r="J54" s="141"/>
      <c r="K54" s="182"/>
      <c r="L54" s="3"/>
      <c r="M54" s="3"/>
      <c r="N54" s="3"/>
      <c r="O54" s="3"/>
      <c r="P54" s="3"/>
    </row>
    <row r="55" spans="1:16">
      <c r="A55" s="3"/>
      <c r="B55" s="3"/>
      <c r="C55" s="177"/>
      <c r="D55" s="141"/>
      <c r="E55" s="141"/>
      <c r="F55" s="141"/>
      <c r="G55" s="141"/>
      <c r="H55" s="141"/>
      <c r="I55" s="141"/>
      <c r="J55" s="141"/>
      <c r="K55" s="182"/>
      <c r="L55" s="3"/>
      <c r="M55" s="3"/>
      <c r="N55" s="3"/>
      <c r="O55" s="3"/>
      <c r="P55" s="3"/>
    </row>
    <row r="56" spans="1:16">
      <c r="A56" s="3"/>
      <c r="B56" s="3"/>
      <c r="C56" s="177"/>
      <c r="D56" s="141"/>
      <c r="E56" s="141"/>
      <c r="F56" s="141"/>
      <c r="G56" s="141"/>
      <c r="H56" s="141"/>
      <c r="I56" s="141"/>
      <c r="J56" s="141"/>
      <c r="K56" s="182"/>
      <c r="L56" s="3"/>
      <c r="M56" s="3"/>
      <c r="N56" s="3"/>
      <c r="O56" s="3"/>
      <c r="P56" s="3"/>
    </row>
    <row r="57" spans="1:16">
      <c r="A57" s="3"/>
      <c r="B57" s="3"/>
      <c r="C57" s="177"/>
      <c r="D57" s="141"/>
      <c r="E57" s="141"/>
      <c r="F57" s="141"/>
      <c r="G57" s="141"/>
      <c r="H57" s="141"/>
      <c r="I57" s="141"/>
      <c r="J57" s="141"/>
      <c r="K57" s="182"/>
      <c r="L57" s="3"/>
      <c r="M57" s="3"/>
      <c r="N57" s="3"/>
      <c r="O57" s="3"/>
      <c r="P57" s="3"/>
    </row>
    <row r="58" spans="1:16">
      <c r="A58" s="3"/>
      <c r="B58" s="3"/>
      <c r="C58" s="177"/>
      <c r="D58" s="141"/>
      <c r="E58" s="141"/>
      <c r="F58" s="141"/>
      <c r="G58" s="141"/>
      <c r="H58" s="141"/>
      <c r="I58" s="141"/>
      <c r="J58" s="141"/>
      <c r="K58" s="182"/>
      <c r="L58" s="3"/>
      <c r="M58" s="3"/>
      <c r="N58" s="3"/>
      <c r="O58" s="3"/>
      <c r="P58" s="3"/>
    </row>
    <row r="59" spans="1:16">
      <c r="A59" s="3"/>
      <c r="B59" s="3"/>
      <c r="C59" s="177"/>
      <c r="D59" s="141"/>
      <c r="E59" s="141"/>
      <c r="F59" s="141"/>
      <c r="G59" s="141"/>
      <c r="H59" s="141"/>
      <c r="I59" s="141"/>
      <c r="J59" s="141"/>
      <c r="K59" s="182"/>
      <c r="L59" s="3"/>
      <c r="M59" s="3"/>
      <c r="N59" s="3"/>
      <c r="O59" s="3"/>
      <c r="P59" s="3"/>
    </row>
    <row r="60" spans="1:16">
      <c r="A60" s="3"/>
      <c r="B60" s="3"/>
      <c r="C60" s="177" t="s">
        <v>985</v>
      </c>
      <c r="D60" s="141"/>
      <c r="E60" s="128">
        <v>1</v>
      </c>
      <c r="F60" s="141" t="s">
        <v>160</v>
      </c>
      <c r="G60" s="402">
        <f>10*LOG10(E60)</f>
        <v>0</v>
      </c>
      <c r="H60" s="141" t="s">
        <v>161</v>
      </c>
      <c r="I60" s="328">
        <f>G60+30</f>
        <v>30</v>
      </c>
      <c r="J60" s="141" t="s">
        <v>783</v>
      </c>
      <c r="K60" s="182" t="s">
        <v>715</v>
      </c>
      <c r="L60" s="3"/>
      <c r="M60" s="3"/>
      <c r="N60" s="3"/>
      <c r="O60" s="3"/>
      <c r="P60" s="3"/>
    </row>
    <row r="61" spans="1:16">
      <c r="A61" s="3"/>
      <c r="B61" s="3"/>
      <c r="C61" s="177"/>
      <c r="D61" s="141"/>
      <c r="E61" s="141"/>
      <c r="F61" s="141"/>
      <c r="G61" s="141"/>
      <c r="H61" s="141"/>
      <c r="I61" s="141"/>
      <c r="J61" s="141"/>
      <c r="K61" s="182"/>
      <c r="L61" s="3"/>
      <c r="M61" s="3"/>
      <c r="N61" s="3"/>
      <c r="O61" s="3"/>
      <c r="P61" s="3"/>
    </row>
    <row r="62" spans="1:16">
      <c r="A62" s="3"/>
      <c r="B62" s="3"/>
      <c r="C62" s="177" t="s">
        <v>163</v>
      </c>
      <c r="D62" s="141"/>
      <c r="E62" s="141"/>
      <c r="F62" s="141" t="s">
        <v>715</v>
      </c>
      <c r="G62" s="141"/>
      <c r="H62" s="141"/>
      <c r="I62" s="141"/>
      <c r="J62" s="141"/>
      <c r="K62" s="182"/>
      <c r="L62" s="3"/>
      <c r="M62" s="3"/>
      <c r="N62" s="3"/>
      <c r="O62" s="3"/>
      <c r="P62" s="3"/>
    </row>
    <row r="63" spans="1:16">
      <c r="A63" s="3"/>
      <c r="B63" s="3"/>
      <c r="C63" s="177"/>
      <c r="D63" s="141" t="s">
        <v>177</v>
      </c>
      <c r="E63" s="459" t="s">
        <v>994</v>
      </c>
      <c r="F63" s="902"/>
      <c r="G63" s="141"/>
      <c r="H63" s="141"/>
      <c r="I63" s="918">
        <v>6.0000000000000001E-3</v>
      </c>
      <c r="J63" s="141" t="s">
        <v>755</v>
      </c>
      <c r="K63" s="182"/>
      <c r="L63" s="3"/>
      <c r="M63" s="3"/>
      <c r="N63" s="3"/>
      <c r="O63" s="3"/>
      <c r="P63" s="3"/>
    </row>
    <row r="64" spans="1:16">
      <c r="A64" s="3"/>
      <c r="B64" s="3"/>
      <c r="C64" s="177"/>
      <c r="D64" s="141" t="s">
        <v>178</v>
      </c>
      <c r="E64" s="459"/>
      <c r="F64" s="902"/>
      <c r="G64" s="141"/>
      <c r="H64" s="141"/>
      <c r="I64" s="918"/>
      <c r="J64" s="141" t="s">
        <v>755</v>
      </c>
      <c r="K64" s="182"/>
      <c r="L64" s="3"/>
      <c r="M64" s="3"/>
      <c r="N64" s="3"/>
      <c r="O64" s="3"/>
      <c r="P64" s="3"/>
    </row>
    <row r="65" spans="1:16">
      <c r="A65" s="3"/>
      <c r="B65" s="3"/>
      <c r="C65" s="177"/>
      <c r="D65" s="141" t="s">
        <v>179</v>
      </c>
      <c r="E65" s="459"/>
      <c r="F65" s="902"/>
      <c r="G65" s="141"/>
      <c r="H65" s="141"/>
      <c r="I65" s="918"/>
      <c r="J65" s="141" t="s">
        <v>755</v>
      </c>
      <c r="K65" s="182"/>
      <c r="L65" s="3"/>
      <c r="M65" s="3"/>
      <c r="N65" s="3"/>
      <c r="O65" s="3"/>
      <c r="P65" s="3"/>
    </row>
    <row r="66" spans="1:16">
      <c r="A66" s="3"/>
      <c r="B66" s="3"/>
      <c r="C66" s="177"/>
      <c r="D66" s="141"/>
      <c r="E66" s="141"/>
      <c r="F66" s="141" t="s">
        <v>715</v>
      </c>
      <c r="G66" s="141"/>
      <c r="H66" s="141"/>
      <c r="I66" s="141"/>
      <c r="J66" s="141" t="s">
        <v>715</v>
      </c>
      <c r="K66" s="182"/>
      <c r="L66" s="3"/>
      <c r="M66" s="3"/>
      <c r="N66" s="3"/>
      <c r="O66" s="3"/>
      <c r="P66" s="3"/>
    </row>
    <row r="67" spans="1:16">
      <c r="A67" s="3"/>
      <c r="B67" s="3"/>
      <c r="C67" s="177"/>
      <c r="D67" s="141" t="s">
        <v>180</v>
      </c>
      <c r="E67" s="141"/>
      <c r="F67" s="141" t="s">
        <v>715</v>
      </c>
      <c r="G67" s="141"/>
      <c r="H67" s="141"/>
      <c r="I67" s="634">
        <f>SUM(I63:I65)</f>
        <v>6.0000000000000001E-3</v>
      </c>
      <c r="J67" s="141" t="s">
        <v>755</v>
      </c>
      <c r="K67" s="182"/>
      <c r="L67" s="3"/>
      <c r="M67" s="3"/>
      <c r="N67" s="3"/>
      <c r="O67" s="3"/>
      <c r="P67" s="3"/>
    </row>
    <row r="68" spans="1:16">
      <c r="A68" s="3"/>
      <c r="B68" s="3"/>
      <c r="C68" s="177"/>
      <c r="D68" s="141"/>
      <c r="E68" s="141"/>
      <c r="F68" s="141"/>
      <c r="G68" s="141"/>
      <c r="H68" s="141"/>
      <c r="I68" s="634"/>
      <c r="J68" s="141"/>
      <c r="K68" s="182"/>
      <c r="L68" s="3"/>
      <c r="M68" s="3"/>
      <c r="N68" s="3"/>
      <c r="O68" s="3"/>
      <c r="P68" s="3"/>
    </row>
    <row r="69" spans="1:16">
      <c r="A69" s="3"/>
      <c r="B69" s="3"/>
      <c r="C69" s="177"/>
      <c r="D69" s="141" t="s">
        <v>953</v>
      </c>
      <c r="E69" s="141"/>
      <c r="F69" s="141"/>
      <c r="G69" s="141"/>
      <c r="H69" s="141"/>
      <c r="I69" s="634"/>
      <c r="J69" s="141"/>
      <c r="K69" s="182"/>
      <c r="L69" s="3"/>
      <c r="M69" s="3"/>
      <c r="N69" s="3"/>
      <c r="O69" s="3"/>
      <c r="P69" s="3"/>
    </row>
    <row r="70" spans="1:16">
      <c r="A70" s="3"/>
      <c r="B70" s="3"/>
      <c r="C70" s="177"/>
      <c r="D70" s="141" t="s">
        <v>948</v>
      </c>
      <c r="E70" s="919">
        <v>1.26</v>
      </c>
      <c r="F70" s="192" t="s">
        <v>958</v>
      </c>
      <c r="G70" s="407">
        <f>Frequency!$M$16</f>
        <v>436.5</v>
      </c>
      <c r="H70" s="141" t="s">
        <v>172</v>
      </c>
      <c r="I70" s="972">
        <f>I63*E70</f>
        <v>7.5599999999999999E-3</v>
      </c>
      <c r="J70" s="141" t="s">
        <v>757</v>
      </c>
      <c r="K70" s="182"/>
      <c r="L70" s="3"/>
      <c r="M70" s="3"/>
      <c r="N70" s="3"/>
      <c r="O70" s="3"/>
      <c r="P70" s="3"/>
    </row>
    <row r="71" spans="1:16">
      <c r="A71" s="3"/>
      <c r="B71" s="3"/>
      <c r="C71" s="177"/>
      <c r="D71" s="141" t="s">
        <v>949</v>
      </c>
      <c r="E71" s="919"/>
      <c r="F71" s="192" t="s">
        <v>958</v>
      </c>
      <c r="G71" s="407">
        <f>Frequency!$M$16</f>
        <v>436.5</v>
      </c>
      <c r="H71" s="141" t="s">
        <v>172</v>
      </c>
      <c r="I71" s="972">
        <f t="shared" ref="I71:I72" si="0">I64*E71</f>
        <v>0</v>
      </c>
      <c r="J71" s="141" t="s">
        <v>757</v>
      </c>
      <c r="K71" s="182"/>
      <c r="L71" s="3"/>
      <c r="M71" s="3"/>
      <c r="N71" s="3"/>
      <c r="O71" s="3"/>
      <c r="P71" s="3"/>
    </row>
    <row r="72" spans="1:16">
      <c r="A72" s="3"/>
      <c r="B72" s="3"/>
      <c r="C72" s="177"/>
      <c r="D72" s="141" t="s">
        <v>950</v>
      </c>
      <c r="E72" s="919"/>
      <c r="F72" s="192" t="s">
        <v>958</v>
      </c>
      <c r="G72" s="407">
        <f>Frequency!$M$16</f>
        <v>436.5</v>
      </c>
      <c r="H72" s="141" t="s">
        <v>172</v>
      </c>
      <c r="I72" s="972">
        <f t="shared" si="0"/>
        <v>0</v>
      </c>
      <c r="J72" s="141" t="s">
        <v>757</v>
      </c>
      <c r="K72" s="182"/>
      <c r="L72" s="3"/>
      <c r="M72" s="3"/>
      <c r="N72" s="3"/>
      <c r="O72" s="3"/>
      <c r="P72" s="3"/>
    </row>
    <row r="73" spans="1:16">
      <c r="A73" s="3"/>
      <c r="B73" s="3"/>
      <c r="C73" s="177"/>
      <c r="D73" s="141"/>
      <c r="E73" s="920"/>
      <c r="F73" s="141"/>
      <c r="G73" s="192"/>
      <c r="H73" s="141"/>
      <c r="I73" s="192"/>
      <c r="J73" s="141"/>
      <c r="K73" s="182"/>
      <c r="L73" s="3"/>
      <c r="M73" s="3"/>
      <c r="N73" s="3"/>
      <c r="O73" s="3"/>
      <c r="P73" s="3"/>
    </row>
    <row r="74" spans="1:16">
      <c r="A74" s="3"/>
      <c r="B74" s="3"/>
      <c r="C74" s="177"/>
      <c r="D74" s="141" t="s">
        <v>951</v>
      </c>
      <c r="E74" s="920"/>
      <c r="F74" s="141"/>
      <c r="G74" s="192"/>
      <c r="H74" s="141"/>
      <c r="I74" s="972">
        <f>SUM(I70:I72)</f>
        <v>7.5599999999999999E-3</v>
      </c>
      <c r="J74" s="141" t="s">
        <v>757</v>
      </c>
      <c r="K74" s="182"/>
      <c r="L74" s="3"/>
      <c r="M74" s="3"/>
      <c r="N74" s="3"/>
      <c r="O74" s="3"/>
      <c r="P74" s="3"/>
    </row>
    <row r="75" spans="1:16">
      <c r="A75" s="3"/>
      <c r="B75" s="3"/>
      <c r="C75" s="177"/>
      <c r="D75" s="141"/>
      <c r="E75" s="920"/>
      <c r="F75" s="141"/>
      <c r="G75" s="192"/>
      <c r="H75" s="141"/>
      <c r="I75" s="192"/>
      <c r="J75" s="141"/>
      <c r="K75" s="182"/>
      <c r="L75" s="3"/>
      <c r="M75" s="3"/>
      <c r="N75" s="3"/>
      <c r="O75" s="3"/>
      <c r="P75" s="3"/>
    </row>
    <row r="76" spans="1:16">
      <c r="A76" s="3"/>
      <c r="B76" s="3"/>
      <c r="C76" s="177" t="s">
        <v>173</v>
      </c>
      <c r="D76" s="141"/>
      <c r="E76" s="920"/>
      <c r="F76" s="141"/>
      <c r="G76" s="192"/>
      <c r="H76" s="141"/>
      <c r="I76" s="192"/>
      <c r="J76" s="141"/>
      <c r="K76" s="182"/>
      <c r="L76" s="3"/>
      <c r="M76" s="3"/>
      <c r="N76" s="3"/>
      <c r="O76" s="3"/>
      <c r="P76" s="3"/>
    </row>
    <row r="77" spans="1:16">
      <c r="A77" s="3"/>
      <c r="B77" s="3"/>
      <c r="C77" s="177"/>
      <c r="D77" s="141"/>
      <c r="E77" s="920"/>
      <c r="F77" s="141"/>
      <c r="G77" s="192"/>
      <c r="H77" s="141"/>
      <c r="I77" s="192"/>
      <c r="J77" s="141"/>
      <c r="K77" s="182"/>
      <c r="L77" s="3"/>
      <c r="M77" s="3"/>
      <c r="N77" s="3"/>
      <c r="O77" s="3"/>
      <c r="P77" s="3"/>
    </row>
    <row r="78" spans="1:16">
      <c r="A78" s="3"/>
      <c r="B78" s="3"/>
      <c r="C78" s="177"/>
      <c r="D78" s="141" t="s">
        <v>170</v>
      </c>
      <c r="E78" s="381">
        <v>6</v>
      </c>
      <c r="F78" s="659" t="s">
        <v>1072</v>
      </c>
      <c r="G78" s="141"/>
      <c r="H78" s="141"/>
      <c r="I78" s="903">
        <f>E78*0.066</f>
        <v>0.39600000000000002</v>
      </c>
      <c r="J78" s="141" t="s">
        <v>757</v>
      </c>
      <c r="K78" s="1044" t="s">
        <v>1073</v>
      </c>
      <c r="L78" s="3"/>
      <c r="M78" s="3"/>
      <c r="N78" s="3"/>
      <c r="O78" s="3"/>
      <c r="P78" s="3"/>
    </row>
    <row r="79" spans="1:16">
      <c r="A79" s="3"/>
      <c r="B79" s="3"/>
      <c r="C79" s="177"/>
      <c r="D79" s="141" t="s">
        <v>171</v>
      </c>
      <c r="E79" s="142" t="s">
        <v>183</v>
      </c>
      <c r="F79" s="891" t="s">
        <v>954</v>
      </c>
      <c r="G79" s="366"/>
      <c r="H79" s="141"/>
      <c r="I79" s="128">
        <v>0.18</v>
      </c>
      <c r="J79" s="141" t="s">
        <v>757</v>
      </c>
      <c r="K79" s="182"/>
      <c r="L79" s="3"/>
      <c r="M79" s="3"/>
      <c r="N79" s="3"/>
      <c r="O79" s="3"/>
      <c r="P79" s="3"/>
    </row>
    <row r="80" spans="1:16">
      <c r="A80" s="3"/>
      <c r="B80" s="3"/>
      <c r="C80" s="177"/>
      <c r="D80" s="141" t="s">
        <v>171</v>
      </c>
      <c r="E80" s="142" t="s">
        <v>183</v>
      </c>
      <c r="F80" s="891" t="s">
        <v>955</v>
      </c>
      <c r="G80" s="366"/>
      <c r="H80" s="141"/>
      <c r="I80" s="128">
        <v>0.2</v>
      </c>
      <c r="J80" s="141" t="s">
        <v>757</v>
      </c>
      <c r="K80" s="182"/>
      <c r="L80" s="3"/>
      <c r="M80" s="3"/>
      <c r="N80" s="3"/>
      <c r="O80" s="3"/>
      <c r="P80" s="3"/>
    </row>
    <row r="81" spans="1:16">
      <c r="A81" s="3"/>
      <c r="B81" s="3"/>
      <c r="C81" s="177"/>
      <c r="D81" s="141" t="s">
        <v>171</v>
      </c>
      <c r="E81" s="142" t="s">
        <v>183</v>
      </c>
      <c r="F81" s="891"/>
      <c r="G81" s="366"/>
      <c r="H81" s="141"/>
      <c r="I81" s="128"/>
      <c r="J81" s="141" t="s">
        <v>757</v>
      </c>
      <c r="K81" s="182"/>
      <c r="L81" s="3"/>
      <c r="M81" s="3"/>
      <c r="N81" s="3"/>
      <c r="O81" s="3"/>
      <c r="P81" s="3"/>
    </row>
    <row r="82" spans="1:16">
      <c r="A82" s="3"/>
      <c r="B82" s="3"/>
      <c r="C82" s="177"/>
      <c r="D82" s="141"/>
      <c r="E82" s="142"/>
      <c r="F82" s="921"/>
      <c r="G82" s="141"/>
      <c r="H82" s="141"/>
      <c r="I82" s="922"/>
      <c r="J82" s="141"/>
      <c r="K82" s="182"/>
      <c r="L82" s="3"/>
      <c r="M82" s="3"/>
      <c r="N82" s="3"/>
      <c r="O82" s="3"/>
      <c r="P82" s="3"/>
    </row>
    <row r="83" spans="1:16">
      <c r="A83" s="3"/>
      <c r="B83" s="3"/>
      <c r="C83" s="177"/>
      <c r="D83" s="141" t="s">
        <v>176</v>
      </c>
      <c r="E83" s="141"/>
      <c r="F83" s="141" t="s">
        <v>432</v>
      </c>
      <c r="G83" s="141"/>
      <c r="H83" s="141"/>
      <c r="I83" s="128">
        <v>0.04</v>
      </c>
      <c r="J83" s="141" t="s">
        <v>757</v>
      </c>
      <c r="K83" s="1044" t="s">
        <v>1077</v>
      </c>
      <c r="L83" s="3"/>
      <c r="M83" s="3"/>
      <c r="N83" s="3"/>
      <c r="O83" s="3"/>
      <c r="P83" s="3"/>
    </row>
    <row r="84" spans="1:16">
      <c r="A84" s="3"/>
      <c r="B84" s="3"/>
      <c r="C84" s="177"/>
      <c r="D84" s="141"/>
      <c r="E84" s="141"/>
      <c r="F84" s="141"/>
      <c r="G84" s="141"/>
      <c r="H84" s="141"/>
      <c r="I84" s="922"/>
      <c r="J84" s="141"/>
      <c r="K84" s="182"/>
      <c r="L84" s="3"/>
      <c r="M84" s="3"/>
      <c r="N84" s="3"/>
      <c r="O84" s="3"/>
      <c r="P84" s="3"/>
    </row>
    <row r="85" spans="1:16" ht="13">
      <c r="A85" s="3"/>
      <c r="B85" s="3"/>
      <c r="C85" s="177" t="s">
        <v>174</v>
      </c>
      <c r="D85" s="141"/>
      <c r="E85" s="141"/>
      <c r="F85" s="141"/>
      <c r="G85" s="141"/>
      <c r="H85" s="141"/>
      <c r="I85" s="654">
        <f>SUM(I74:I83)</f>
        <v>0.82356000000000007</v>
      </c>
      <c r="J85" s="141" t="s">
        <v>757</v>
      </c>
      <c r="K85" s="182"/>
      <c r="L85" s="3"/>
      <c r="M85" s="3"/>
      <c r="N85" s="3"/>
      <c r="O85" s="3"/>
      <c r="P85" s="3"/>
    </row>
    <row r="86" spans="1:16">
      <c r="A86" s="3"/>
      <c r="B86" s="3"/>
      <c r="C86" s="177"/>
      <c r="D86" s="141"/>
      <c r="E86" s="141"/>
      <c r="F86" s="141"/>
      <c r="G86" s="141"/>
      <c r="H86" s="141"/>
      <c r="I86" s="341"/>
      <c r="J86" s="141"/>
      <c r="K86" s="182"/>
      <c r="L86" s="3"/>
      <c r="M86" s="3"/>
      <c r="N86" s="3"/>
      <c r="O86" s="3"/>
      <c r="P86" s="3"/>
    </row>
    <row r="87" spans="1:16">
      <c r="A87" s="3"/>
      <c r="B87" s="3"/>
      <c r="C87" s="177" t="s">
        <v>182</v>
      </c>
      <c r="D87" s="141"/>
      <c r="E87" s="141"/>
      <c r="F87" s="141"/>
      <c r="G87" s="141"/>
      <c r="H87" s="141"/>
      <c r="I87" s="327">
        <f>G60-I85</f>
        <v>-0.82356000000000007</v>
      </c>
      <c r="J87" s="141" t="s">
        <v>782</v>
      </c>
      <c r="K87" s="182"/>
      <c r="L87" s="3"/>
      <c r="M87" s="3"/>
      <c r="N87" s="3"/>
      <c r="O87" s="3"/>
      <c r="P87" s="3"/>
    </row>
    <row r="88" spans="1:16">
      <c r="A88" s="3"/>
      <c r="B88" s="3"/>
      <c r="C88" s="235"/>
      <c r="D88" s="236"/>
      <c r="E88" s="236"/>
      <c r="F88" s="236"/>
      <c r="G88" s="236"/>
      <c r="H88" s="236"/>
      <c r="I88" s="236"/>
      <c r="J88" s="236"/>
      <c r="K88" s="237"/>
      <c r="L88" s="3"/>
      <c r="M88" s="3"/>
      <c r="N88" s="3"/>
      <c r="O88" s="3"/>
      <c r="P88" s="3"/>
    </row>
    <row r="89" spans="1:16">
      <c r="A89" s="3"/>
      <c r="B89" s="3"/>
      <c r="C89" s="3"/>
      <c r="D89" s="3"/>
      <c r="E89" s="3"/>
      <c r="F89" s="3"/>
      <c r="G89" s="3"/>
      <c r="H89" s="3"/>
      <c r="I89" s="3"/>
      <c r="J89" s="3"/>
      <c r="K89" s="3"/>
      <c r="L89" s="3"/>
      <c r="M89" s="3"/>
      <c r="N89" s="3"/>
      <c r="O89" s="3"/>
      <c r="P89" s="3"/>
    </row>
    <row r="90" spans="1:16">
      <c r="A90" s="3"/>
      <c r="B90" s="3"/>
      <c r="C90" s="3"/>
      <c r="D90" s="3"/>
      <c r="E90" s="3"/>
      <c r="F90" s="3"/>
      <c r="G90" s="3"/>
      <c r="H90" s="3"/>
      <c r="I90" s="3"/>
      <c r="J90" s="3"/>
      <c r="K90" s="3"/>
      <c r="L90" s="3"/>
      <c r="M90" s="3"/>
      <c r="N90" s="3"/>
      <c r="O90" s="3"/>
      <c r="P90" s="3"/>
    </row>
    <row r="91" spans="1:16">
      <c r="A91" s="3"/>
      <c r="B91" s="3"/>
      <c r="C91" s="3"/>
      <c r="D91" s="3"/>
      <c r="E91" s="3"/>
      <c r="F91" s="3"/>
      <c r="G91" s="3"/>
      <c r="H91" s="3"/>
      <c r="I91" s="3"/>
      <c r="J91" s="3"/>
      <c r="K91" s="3"/>
      <c r="L91" s="3"/>
      <c r="M91" s="3"/>
      <c r="N91" s="3"/>
      <c r="O91" s="3"/>
      <c r="P91" s="3"/>
    </row>
    <row r="92" spans="1:16">
      <c r="A92" s="3"/>
      <c r="B92" s="3"/>
      <c r="C92" s="3"/>
      <c r="D92" s="3"/>
      <c r="E92" s="3"/>
      <c r="F92" s="3"/>
      <c r="G92" s="3"/>
      <c r="H92" s="3"/>
      <c r="I92" s="3"/>
      <c r="J92" s="3"/>
      <c r="K92" s="3"/>
      <c r="L92" s="3"/>
      <c r="M92" s="3"/>
      <c r="N92" s="3"/>
      <c r="O92" s="3"/>
      <c r="P92" s="3"/>
    </row>
    <row r="93" spans="1:16">
      <c r="A93" s="3"/>
      <c r="B93" s="3"/>
      <c r="C93" s="3"/>
      <c r="D93" s="3"/>
      <c r="E93" s="3"/>
      <c r="F93" s="3"/>
      <c r="G93" s="3"/>
      <c r="H93" s="3"/>
      <c r="I93" s="3"/>
      <c r="J93" s="3"/>
      <c r="K93" s="3"/>
      <c r="L93" s="3"/>
      <c r="M93" s="3"/>
      <c r="N93" s="3"/>
      <c r="O93" s="3"/>
      <c r="P93" s="3"/>
    </row>
    <row r="94" spans="1:16">
      <c r="A94" s="3"/>
      <c r="B94" s="3"/>
      <c r="C94" s="3"/>
      <c r="D94" s="3"/>
      <c r="E94" s="3"/>
      <c r="F94" s="3"/>
      <c r="G94" s="3"/>
      <c r="H94" s="3"/>
      <c r="I94" s="3"/>
      <c r="J94" s="3"/>
      <c r="K94" s="3"/>
      <c r="L94" s="3"/>
      <c r="M94" s="3"/>
      <c r="N94" s="3"/>
      <c r="O94" s="3"/>
      <c r="P94" s="3"/>
    </row>
    <row r="95" spans="1:16">
      <c r="A95" s="3"/>
      <c r="B95" s="3"/>
      <c r="C95" s="3"/>
      <c r="D95" s="3"/>
      <c r="E95" s="3"/>
      <c r="F95" s="3"/>
      <c r="G95" s="3"/>
      <c r="H95" s="3"/>
      <c r="I95" s="3"/>
      <c r="J95" s="3"/>
      <c r="K95" s="3"/>
      <c r="L95" s="3"/>
      <c r="M95" s="3"/>
      <c r="N95" s="3"/>
      <c r="O95" s="3"/>
      <c r="P95" s="3"/>
    </row>
    <row r="96" spans="1:16">
      <c r="A96" s="3"/>
      <c r="B96" s="3"/>
      <c r="C96" s="3"/>
      <c r="D96" s="3"/>
      <c r="E96" s="3"/>
      <c r="F96" s="3"/>
      <c r="G96" s="3"/>
      <c r="H96" s="3"/>
      <c r="I96" s="3"/>
      <c r="J96" s="3"/>
      <c r="K96" s="3"/>
      <c r="L96" s="3"/>
      <c r="M96" s="3"/>
      <c r="N96" s="3"/>
      <c r="O96" s="3"/>
      <c r="P96" s="3"/>
    </row>
    <row r="97" spans="1:16">
      <c r="A97" s="3"/>
      <c r="B97" s="3"/>
      <c r="C97" s="3"/>
      <c r="D97" s="3"/>
      <c r="E97" s="3"/>
      <c r="F97" s="3"/>
      <c r="G97" s="3"/>
      <c r="H97" s="3"/>
      <c r="I97" s="3"/>
      <c r="J97" s="3"/>
      <c r="K97" s="3"/>
      <c r="L97" s="3"/>
      <c r="M97" s="3"/>
      <c r="N97" s="3"/>
      <c r="O97" s="3"/>
      <c r="P97" s="3"/>
    </row>
    <row r="98" spans="1:16">
      <c r="A98" s="3"/>
      <c r="B98" s="3"/>
      <c r="C98" s="3"/>
      <c r="D98" s="3"/>
      <c r="E98" s="3"/>
      <c r="F98" s="3"/>
      <c r="G98" s="3"/>
      <c r="H98" s="3"/>
      <c r="I98" s="3"/>
      <c r="J98" s="3"/>
      <c r="K98" s="3"/>
      <c r="L98" s="3"/>
      <c r="M98" s="3"/>
      <c r="N98" s="3"/>
      <c r="O98" s="3"/>
      <c r="P98" s="3"/>
    </row>
    <row r="99" spans="1:16">
      <c r="A99" s="3"/>
      <c r="B99" s="3"/>
      <c r="C99" s="3"/>
      <c r="D99" s="3"/>
      <c r="E99" s="3"/>
      <c r="F99" s="3"/>
      <c r="G99" s="3"/>
      <c r="H99" s="3"/>
      <c r="I99" s="3"/>
      <c r="J99" s="3"/>
      <c r="K99" s="3"/>
      <c r="L99" s="3"/>
      <c r="M99" s="3"/>
      <c r="N99" s="3"/>
      <c r="O99" s="3"/>
      <c r="P99" s="3"/>
    </row>
    <row r="100" spans="1:16">
      <c r="A100" s="3"/>
      <c r="B100" s="3"/>
      <c r="C100" s="3"/>
      <c r="D100" s="3"/>
      <c r="E100" s="3"/>
      <c r="F100" s="3"/>
      <c r="G100" s="3"/>
      <c r="H100" s="3"/>
      <c r="I100" s="3"/>
      <c r="J100" s="3"/>
      <c r="K100" s="3"/>
      <c r="L100" s="3"/>
      <c r="M100" s="3"/>
      <c r="N100" s="3"/>
      <c r="O100" s="3"/>
      <c r="P100" s="3"/>
    </row>
    <row r="101" spans="1:16">
      <c r="A101" s="3"/>
      <c r="B101" s="3"/>
      <c r="C101" s="3"/>
      <c r="D101" s="3"/>
      <c r="E101" s="3"/>
      <c r="F101" s="3"/>
      <c r="G101" s="3"/>
      <c r="H101" s="3"/>
      <c r="I101" s="3"/>
      <c r="J101" s="3"/>
      <c r="K101" s="3"/>
      <c r="L101" s="3"/>
      <c r="M101" s="3"/>
      <c r="N101" s="3"/>
      <c r="O101" s="3"/>
      <c r="P101" s="3"/>
    </row>
    <row r="102" spans="1:16">
      <c r="A102" s="3"/>
      <c r="B102" s="3"/>
      <c r="C102" s="3"/>
      <c r="D102" s="3"/>
      <c r="E102" s="3"/>
      <c r="F102" s="3"/>
      <c r="G102" s="3"/>
      <c r="H102" s="3"/>
      <c r="I102" s="3"/>
      <c r="J102" s="3"/>
      <c r="K102" s="3"/>
      <c r="L102" s="3"/>
      <c r="M102" s="3"/>
      <c r="N102" s="3"/>
      <c r="O102" s="3"/>
      <c r="P102" s="3"/>
    </row>
    <row r="103" spans="1:16">
      <c r="A103" s="3"/>
      <c r="B103" s="3"/>
      <c r="C103" s="3"/>
      <c r="D103" s="3"/>
      <c r="E103" s="3"/>
      <c r="F103" s="3"/>
      <c r="G103" s="3"/>
      <c r="H103" s="3"/>
      <c r="I103" s="3"/>
      <c r="J103" s="3"/>
      <c r="K103" s="3"/>
      <c r="L103" s="3"/>
      <c r="M103" s="3"/>
      <c r="N103" s="3"/>
      <c r="O103" s="3"/>
      <c r="P103" s="3"/>
    </row>
    <row r="104" spans="1:16">
      <c r="A104" s="3"/>
      <c r="B104" s="3"/>
      <c r="C104" s="3"/>
      <c r="D104" s="3"/>
      <c r="E104" s="3"/>
      <c r="F104" s="3"/>
      <c r="G104" s="3"/>
      <c r="H104" s="3"/>
      <c r="I104" s="3"/>
      <c r="J104" s="3"/>
      <c r="K104" s="3"/>
      <c r="L104" s="3"/>
      <c r="M104" s="3"/>
      <c r="N104" s="3"/>
      <c r="O104" s="3"/>
      <c r="P104" s="3"/>
    </row>
    <row r="105" spans="1:16">
      <c r="A105" s="3"/>
      <c r="B105" s="3"/>
      <c r="C105" s="3"/>
      <c r="D105" s="3"/>
      <c r="E105" s="3"/>
      <c r="F105" s="3"/>
      <c r="G105" s="3"/>
      <c r="H105" s="3"/>
      <c r="I105" s="3"/>
      <c r="J105" s="3"/>
      <c r="K105" s="3"/>
      <c r="L105" s="3"/>
      <c r="M105" s="3"/>
      <c r="N105" s="3"/>
      <c r="O105" s="3"/>
      <c r="P105" s="3"/>
    </row>
    <row r="106" spans="1:16">
      <c r="A106" s="3"/>
      <c r="B106" s="3"/>
      <c r="C106" s="3"/>
      <c r="D106" s="3"/>
      <c r="E106" s="3"/>
      <c r="F106" s="3"/>
      <c r="G106" s="3"/>
      <c r="H106" s="3"/>
      <c r="I106" s="3"/>
      <c r="J106" s="3"/>
      <c r="K106" s="3"/>
      <c r="L106" s="3"/>
      <c r="M106" s="3"/>
      <c r="N106" s="3"/>
      <c r="O106" s="3"/>
      <c r="P106" s="3"/>
    </row>
    <row r="107" spans="1:16">
      <c r="A107" s="3"/>
      <c r="B107" s="3"/>
      <c r="C107" s="3"/>
      <c r="D107" s="3"/>
      <c r="E107" s="3"/>
      <c r="F107" s="3"/>
      <c r="G107" s="3"/>
      <c r="H107" s="3"/>
      <c r="I107" s="3"/>
      <c r="J107" s="3"/>
      <c r="K107" s="3"/>
      <c r="L107" s="3"/>
      <c r="M107" s="3"/>
      <c r="N107" s="3"/>
      <c r="O107" s="3"/>
      <c r="P107" s="3"/>
    </row>
  </sheetData>
  <mergeCells count="1">
    <mergeCell ref="C52:E52"/>
  </mergeCells>
  <phoneticPr fontId="26" type="noConversion"/>
  <hyperlinks>
    <hyperlink ref="C52:E52" r:id="rId1" display="Block Diagram (GitHub link - click for details):" xr:uid="{579FB249-287E-4859-9F32-4097A52491BD}"/>
  </hyperlinks>
  <pageMargins left="0.75" right="0.75" top="1" bottom="1" header="0.5" footer="0.5"/>
  <pageSetup paperSize="9" scale="53" orientation="portrait" r:id="rId2"/>
  <headerFooter alignWithMargins="0"/>
  <drawing r:id="rId3"/>
  <legacyDrawing r:id="rId4"/>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tabColor indexed="13"/>
    <pageSetUpPr fitToPage="1"/>
  </sheetPr>
  <dimension ref="A1:AA181"/>
  <sheetViews>
    <sheetView zoomScale="120" zoomScaleNormal="120" workbookViewId="0">
      <selection activeCell="H4" sqref="H4"/>
    </sheetView>
  </sheetViews>
  <sheetFormatPr defaultColWidth="8.81640625" defaultRowHeight="12.5"/>
  <cols>
    <col min="8" max="8" width="10" customWidth="1"/>
    <col min="9" max="9" width="14.1796875" customWidth="1"/>
    <col min="10" max="10" width="10" customWidth="1"/>
    <col min="16" max="16" width="9.36328125" customWidth="1"/>
    <col min="18" max="18" width="12.90625" customWidth="1"/>
    <col min="19" max="19" width="13.7265625" customWidth="1"/>
    <col min="20" max="20" width="6.90625" bestFit="1" customWidth="1"/>
    <col min="21" max="21" width="12.7265625" bestFit="1" customWidth="1"/>
    <col min="22" max="22" width="13.453125" bestFit="1" customWidth="1"/>
    <col min="23" max="23" width="12.54296875" bestFit="1" customWidth="1"/>
    <col min="24" max="24" width="9.36328125" bestFit="1" customWidth="1"/>
    <col min="25" max="25" width="19.08984375" bestFit="1" customWidth="1"/>
    <col min="26" max="26" width="16.1796875" bestFit="1" customWidth="1"/>
    <col min="27" max="27" width="8.26953125" bestFit="1" customWidth="1"/>
  </cols>
  <sheetData>
    <row r="1" spans="1:27" ht="18.5" thickBot="1">
      <c r="A1" s="125" t="s">
        <v>184</v>
      </c>
      <c r="B1" s="127"/>
      <c r="C1" s="127"/>
      <c r="D1" s="127"/>
      <c r="E1" s="127"/>
      <c r="F1" s="127"/>
      <c r="G1" s="127"/>
      <c r="H1" s="611" t="str">
        <f>'Title Page'!F3</f>
        <v>OreSat - CS0</v>
      </c>
      <c r="I1" s="127"/>
      <c r="J1" s="127"/>
      <c r="K1" s="610" t="str">
        <f>'Title Page'!F23</f>
        <v>2019 June 21</v>
      </c>
      <c r="L1" s="127"/>
      <c r="M1" s="127"/>
      <c r="N1" s="127"/>
      <c r="O1" s="127"/>
      <c r="P1" s="127"/>
      <c r="Q1" s="127"/>
      <c r="R1" s="127"/>
      <c r="S1" s="127"/>
      <c r="T1" s="127"/>
      <c r="U1" s="127"/>
      <c r="V1" s="127"/>
      <c r="W1" s="127"/>
      <c r="X1" s="127"/>
      <c r="Y1" s="127"/>
      <c r="Z1" s="127"/>
      <c r="AA1" s="127"/>
    </row>
    <row r="2" spans="1:27">
      <c r="A2" s="3"/>
      <c r="B2" s="3"/>
      <c r="C2" s="3"/>
      <c r="D2" s="3"/>
      <c r="E2" s="3"/>
      <c r="F2" s="3"/>
      <c r="G2" s="3"/>
      <c r="H2" s="3"/>
      <c r="I2" s="3"/>
      <c r="J2" s="3"/>
      <c r="K2" s="3"/>
      <c r="L2" s="3"/>
      <c r="M2" s="3"/>
      <c r="N2" s="3"/>
      <c r="O2" s="3"/>
      <c r="P2" s="3"/>
      <c r="Q2" s="3"/>
      <c r="R2" s="3"/>
      <c r="S2" s="3"/>
      <c r="T2" s="3"/>
      <c r="U2" s="3"/>
      <c r="V2" s="3"/>
      <c r="W2" s="3"/>
      <c r="X2" s="3"/>
      <c r="Y2" s="3"/>
      <c r="Z2" s="3"/>
      <c r="AA2" s="3"/>
    </row>
    <row r="3" spans="1:27">
      <c r="A3" s="3"/>
      <c r="B3" s="3"/>
      <c r="C3" s="3"/>
      <c r="D3" s="3"/>
      <c r="E3" s="3"/>
      <c r="F3" s="3"/>
      <c r="G3" s="3"/>
      <c r="H3" s="3"/>
      <c r="I3" s="3"/>
      <c r="J3" s="3"/>
      <c r="K3" s="3"/>
      <c r="L3" s="3"/>
      <c r="M3" s="3"/>
      <c r="N3" s="3"/>
      <c r="O3" s="3"/>
      <c r="P3" s="3"/>
      <c r="Q3" s="3"/>
      <c r="R3" s="3"/>
      <c r="S3" s="3"/>
      <c r="T3" s="3"/>
      <c r="U3" s="3"/>
      <c r="V3" s="3"/>
      <c r="W3" s="3"/>
      <c r="X3" s="3"/>
      <c r="Y3" s="3"/>
      <c r="Z3" s="3"/>
      <c r="AA3" s="3"/>
    </row>
    <row r="4" spans="1:27" ht="15.5">
      <c r="A4" s="3"/>
      <c r="B4" s="272" t="s">
        <v>185</v>
      </c>
      <c r="C4" s="189"/>
      <c r="D4" s="189"/>
      <c r="E4" s="189"/>
      <c r="F4" s="190"/>
      <c r="G4" s="3"/>
      <c r="H4" s="3"/>
      <c r="I4" s="3"/>
      <c r="J4" s="466"/>
      <c r="K4" s="3"/>
      <c r="L4" s="3"/>
      <c r="M4" s="3"/>
      <c r="N4" s="3"/>
      <c r="O4" s="3"/>
      <c r="P4" s="3"/>
      <c r="Q4" s="3"/>
      <c r="R4" s="3"/>
      <c r="S4" s="3"/>
      <c r="T4" s="3"/>
      <c r="U4" s="3"/>
      <c r="V4" s="3"/>
      <c r="W4" s="3"/>
      <c r="X4" s="3"/>
      <c r="Y4" s="3"/>
      <c r="Z4" s="3"/>
      <c r="AA4" s="3"/>
    </row>
    <row r="5" spans="1:27">
      <c r="A5" s="3"/>
      <c r="B5" s="3"/>
      <c r="C5" s="3"/>
      <c r="D5" s="3"/>
      <c r="E5" s="3"/>
      <c r="F5" s="3"/>
      <c r="G5" s="3"/>
      <c r="H5" s="3"/>
      <c r="I5" s="3"/>
      <c r="J5" s="3"/>
      <c r="K5" s="3"/>
      <c r="L5" s="3"/>
      <c r="M5" s="3"/>
      <c r="N5" s="3"/>
      <c r="O5" s="3"/>
      <c r="P5" s="3"/>
      <c r="Q5" s="3"/>
      <c r="R5" s="3"/>
      <c r="S5" s="3"/>
      <c r="T5" s="3"/>
      <c r="U5" s="3"/>
      <c r="V5" s="3"/>
      <c r="W5" s="3"/>
      <c r="X5" s="3"/>
      <c r="Y5" s="3"/>
      <c r="Z5" s="3"/>
      <c r="AA5" s="3"/>
    </row>
    <row r="6" spans="1:27">
      <c r="A6" s="3"/>
      <c r="B6" s="3"/>
      <c r="C6" s="345" t="s">
        <v>250</v>
      </c>
      <c r="D6" s="3"/>
      <c r="E6" s="3"/>
      <c r="F6" s="3"/>
      <c r="G6" s="3"/>
      <c r="H6" s="3"/>
      <c r="I6" s="3"/>
      <c r="J6" s="3"/>
      <c r="K6" s="3"/>
      <c r="L6" s="3"/>
      <c r="M6" s="3"/>
      <c r="N6" s="3"/>
      <c r="O6" s="3"/>
      <c r="P6" s="3"/>
      <c r="Q6" s="3"/>
      <c r="R6" s="3"/>
      <c r="S6" s="3"/>
      <c r="T6" s="3"/>
      <c r="U6" s="3"/>
      <c r="V6" s="3"/>
      <c r="W6" s="3"/>
      <c r="X6" s="3"/>
      <c r="Y6" s="3"/>
      <c r="Z6" s="3"/>
      <c r="AA6" s="3"/>
    </row>
    <row r="7" spans="1:27">
      <c r="A7" s="3"/>
      <c r="B7" s="3"/>
      <c r="C7" s="101"/>
      <c r="D7" s="101"/>
      <c r="E7" s="101"/>
      <c r="F7" s="101"/>
      <c r="G7" s="101"/>
      <c r="H7" s="101"/>
      <c r="I7" s="101"/>
      <c r="J7" s="101"/>
      <c r="K7" s="101"/>
      <c r="L7" s="3"/>
      <c r="M7" s="3"/>
      <c r="N7" s="3"/>
      <c r="O7" s="3"/>
      <c r="P7" s="3"/>
      <c r="Q7" s="3"/>
      <c r="R7" s="3"/>
      <c r="S7" s="3"/>
      <c r="T7" s="3"/>
      <c r="U7" s="3"/>
      <c r="V7" s="3"/>
      <c r="W7" s="3"/>
      <c r="X7" s="3"/>
      <c r="Y7" s="3"/>
      <c r="Z7" s="3"/>
      <c r="AA7" s="3"/>
    </row>
    <row r="8" spans="1:27" ht="13">
      <c r="A8" s="3"/>
      <c r="B8" s="3"/>
      <c r="C8" s="1053" t="s">
        <v>993</v>
      </c>
      <c r="D8" s="1054"/>
      <c r="E8" s="1054"/>
      <c r="F8" s="1054"/>
      <c r="G8" s="1054"/>
      <c r="H8" s="329"/>
      <c r="I8" s="329"/>
      <c r="J8" s="329"/>
      <c r="K8" s="329"/>
      <c r="L8" s="329"/>
      <c r="M8" s="910"/>
      <c r="N8" s="3"/>
      <c r="O8" s="3"/>
      <c r="P8" s="3"/>
      <c r="Q8" s="3"/>
      <c r="R8" s="3"/>
      <c r="S8" s="3"/>
      <c r="T8" s="3"/>
      <c r="U8" s="3"/>
      <c r="V8" s="3"/>
      <c r="W8" s="3"/>
      <c r="X8" s="3"/>
      <c r="Y8" s="3"/>
      <c r="Z8" s="3"/>
      <c r="AA8" s="3"/>
    </row>
    <row r="9" spans="1:27">
      <c r="A9" s="3"/>
      <c r="B9" s="3"/>
      <c r="C9" s="330"/>
      <c r="D9" s="331"/>
      <c r="E9" s="331"/>
      <c r="F9" s="331"/>
      <c r="G9" s="331"/>
      <c r="H9" s="331"/>
      <c r="I9" s="331"/>
      <c r="J9" s="331"/>
      <c r="K9" s="331"/>
      <c r="L9" s="331"/>
      <c r="M9" s="323"/>
      <c r="N9" s="3"/>
      <c r="O9" s="3"/>
      <c r="P9" s="3"/>
      <c r="Q9" s="3"/>
      <c r="R9" s="3"/>
      <c r="S9" s="3"/>
      <c r="T9" s="3"/>
      <c r="U9" s="3"/>
      <c r="V9" s="3"/>
      <c r="W9" s="3"/>
      <c r="X9" s="3"/>
      <c r="Y9" s="3"/>
      <c r="Z9" s="3"/>
      <c r="AA9" s="3"/>
    </row>
    <row r="10" spans="1:27">
      <c r="A10" s="3"/>
      <c r="B10" s="3"/>
      <c r="C10" s="330"/>
      <c r="D10" s="331"/>
      <c r="E10" s="331"/>
      <c r="F10" s="331"/>
      <c r="G10" s="331"/>
      <c r="H10" s="331"/>
      <c r="I10" s="331"/>
      <c r="J10" s="331"/>
      <c r="K10" s="331"/>
      <c r="L10" s="331"/>
      <c r="M10" s="323"/>
      <c r="N10" s="3"/>
      <c r="O10" s="3"/>
      <c r="P10" s="3"/>
      <c r="Q10" s="3"/>
      <c r="R10" s="3"/>
      <c r="S10" s="3"/>
      <c r="T10" s="3"/>
      <c r="U10" s="3"/>
      <c r="V10" s="3"/>
      <c r="W10" s="3"/>
      <c r="X10" s="3"/>
      <c r="Y10" s="3"/>
      <c r="Z10" s="3"/>
      <c r="AA10" s="3"/>
    </row>
    <row r="11" spans="1:27">
      <c r="A11" s="3"/>
      <c r="B11" s="3"/>
      <c r="C11" s="330"/>
      <c r="D11" s="331"/>
      <c r="E11" s="331"/>
      <c r="F11" s="331"/>
      <c r="G11" s="331"/>
      <c r="H11" s="331"/>
      <c r="I11" s="331"/>
      <c r="J11" s="331"/>
      <c r="K11" s="331"/>
      <c r="L11" s="331"/>
      <c r="M11" s="323"/>
      <c r="N11" s="3"/>
      <c r="O11" s="3"/>
      <c r="P11" s="3"/>
      <c r="Q11" s="3"/>
      <c r="R11" s="3"/>
      <c r="S11" s="3"/>
      <c r="T11" s="3"/>
      <c r="U11" s="3"/>
      <c r="V11" s="3"/>
      <c r="W11" s="3"/>
      <c r="X11" s="3"/>
      <c r="Y11" s="3"/>
      <c r="Z11" s="3"/>
      <c r="AA11" s="3"/>
    </row>
    <row r="12" spans="1:27">
      <c r="A12" s="3"/>
      <c r="B12" s="3"/>
      <c r="C12" s="330"/>
      <c r="D12" s="331"/>
      <c r="E12" s="331"/>
      <c r="F12" s="331"/>
      <c r="G12" s="331"/>
      <c r="H12" s="331"/>
      <c r="I12" s="331"/>
      <c r="J12" s="331"/>
      <c r="K12" s="331"/>
      <c r="L12" s="331"/>
      <c r="M12" s="323"/>
      <c r="N12" s="3"/>
      <c r="O12" s="3"/>
      <c r="P12" s="3"/>
      <c r="Q12" s="3"/>
      <c r="R12" s="3"/>
      <c r="S12" s="3"/>
      <c r="T12" s="3"/>
      <c r="U12" s="3"/>
      <c r="V12" s="3"/>
      <c r="W12" s="3"/>
      <c r="X12" s="3"/>
      <c r="Y12" s="3"/>
      <c r="Z12" s="3"/>
      <c r="AA12" s="3"/>
    </row>
    <row r="13" spans="1:27">
      <c r="A13" s="3"/>
      <c r="B13" s="3"/>
      <c r="C13" s="330"/>
      <c r="D13" s="331"/>
      <c r="E13" s="331"/>
      <c r="F13" s="331"/>
      <c r="G13" s="331"/>
      <c r="H13" s="331"/>
      <c r="I13" s="331"/>
      <c r="J13" s="331"/>
      <c r="K13" s="331"/>
      <c r="L13" s="331"/>
      <c r="M13" s="323"/>
      <c r="N13" s="3"/>
      <c r="O13" s="3"/>
      <c r="P13" s="3"/>
      <c r="Q13" s="3"/>
      <c r="R13" s="3"/>
      <c r="S13" s="3"/>
      <c r="T13" s="3"/>
      <c r="U13" s="3"/>
      <c r="V13" s="3"/>
      <c r="W13" s="3"/>
      <c r="X13" s="3"/>
      <c r="Y13" s="3"/>
      <c r="Z13" s="3"/>
      <c r="AA13" s="3"/>
    </row>
    <row r="14" spans="1:27">
      <c r="A14" s="3"/>
      <c r="B14" s="3"/>
      <c r="C14" s="330"/>
      <c r="D14" s="333"/>
      <c r="E14" s="331"/>
      <c r="F14" s="333"/>
      <c r="G14" s="331"/>
      <c r="H14" s="333"/>
      <c r="I14" s="331"/>
      <c r="J14" s="331"/>
      <c r="K14" s="331"/>
      <c r="L14" s="331"/>
      <c r="M14" s="323"/>
      <c r="N14" s="3"/>
      <c r="O14" s="3"/>
      <c r="P14" s="3"/>
      <c r="Q14" s="3"/>
      <c r="R14" s="3"/>
      <c r="S14" s="3"/>
      <c r="T14" s="3"/>
      <c r="U14" s="3"/>
      <c r="V14" s="3"/>
      <c r="W14" s="3"/>
      <c r="X14" s="3"/>
      <c r="Y14" s="3"/>
      <c r="Z14" s="3"/>
      <c r="AA14" s="3"/>
    </row>
    <row r="15" spans="1:27">
      <c r="A15" s="3"/>
      <c r="B15" s="3"/>
      <c r="C15" s="330"/>
      <c r="D15" s="331"/>
      <c r="E15" s="331"/>
      <c r="F15" s="331"/>
      <c r="G15" s="331"/>
      <c r="H15" s="331"/>
      <c r="I15" s="331"/>
      <c r="J15" s="331"/>
      <c r="K15" s="331"/>
      <c r="L15" s="331"/>
      <c r="M15" s="323"/>
      <c r="N15" s="3"/>
      <c r="O15" s="3"/>
      <c r="P15" s="3"/>
      <c r="Q15" s="3"/>
      <c r="R15" s="3"/>
      <c r="S15" s="3"/>
      <c r="T15" s="3"/>
      <c r="U15" s="3"/>
      <c r="V15" s="3"/>
      <c r="W15" s="3"/>
      <c r="X15" s="3"/>
      <c r="Y15" s="3"/>
      <c r="Z15" s="3"/>
      <c r="AA15" s="3"/>
    </row>
    <row r="16" spans="1:27">
      <c r="A16" s="3"/>
      <c r="B16" s="3"/>
      <c r="C16" s="330"/>
      <c r="D16" s="333"/>
      <c r="E16" s="331"/>
      <c r="F16" s="333"/>
      <c r="G16" s="331"/>
      <c r="H16" s="331"/>
      <c r="I16" s="331"/>
      <c r="J16" s="331"/>
      <c r="K16" s="331"/>
      <c r="L16" s="331"/>
      <c r="M16" s="323"/>
      <c r="N16" s="3"/>
      <c r="O16" s="3"/>
      <c r="P16" s="3"/>
      <c r="Q16" s="3"/>
      <c r="R16" s="3"/>
      <c r="S16" s="3"/>
      <c r="T16" s="3"/>
      <c r="U16" s="3"/>
      <c r="V16" s="3"/>
      <c r="W16" s="3"/>
      <c r="X16" s="3"/>
      <c r="Y16" s="3"/>
      <c r="Z16" s="3"/>
      <c r="AA16" s="3"/>
    </row>
    <row r="17" spans="1:27">
      <c r="A17" s="3"/>
      <c r="B17" s="3"/>
      <c r="C17" s="330"/>
      <c r="D17" s="331"/>
      <c r="E17" s="331"/>
      <c r="F17" s="331"/>
      <c r="G17" s="331"/>
      <c r="H17" s="331"/>
      <c r="I17" s="331"/>
      <c r="J17" s="331"/>
      <c r="K17" s="334"/>
      <c r="L17" s="331"/>
      <c r="M17" s="323"/>
      <c r="N17" s="3"/>
      <c r="O17" s="3"/>
      <c r="P17" s="3"/>
      <c r="Q17" s="3"/>
      <c r="R17" s="3"/>
      <c r="S17" s="3"/>
      <c r="T17" s="3"/>
      <c r="U17" s="3"/>
      <c r="V17" s="3"/>
      <c r="W17" s="3"/>
      <c r="X17" s="3"/>
      <c r="Y17" s="3"/>
      <c r="Z17" s="3"/>
      <c r="AA17" s="3"/>
    </row>
    <row r="18" spans="1:27">
      <c r="A18" s="3"/>
      <c r="B18" s="3"/>
      <c r="C18" s="330"/>
      <c r="D18" s="331"/>
      <c r="E18" s="331"/>
      <c r="F18" s="331"/>
      <c r="G18" s="331"/>
      <c r="H18" s="331"/>
      <c r="I18" s="331"/>
      <c r="J18" s="331"/>
      <c r="K18" s="331"/>
      <c r="L18" s="331"/>
      <c r="M18" s="323"/>
      <c r="N18" s="3"/>
      <c r="O18" s="3"/>
      <c r="P18" s="3"/>
      <c r="Q18" s="3"/>
      <c r="R18" s="3"/>
      <c r="S18" s="3"/>
      <c r="T18" s="3"/>
      <c r="U18" s="3"/>
      <c r="V18" s="3"/>
      <c r="W18" s="3"/>
      <c r="X18" s="3"/>
      <c r="Y18" s="3"/>
      <c r="Z18" s="3"/>
      <c r="AA18" s="3"/>
    </row>
    <row r="19" spans="1:27">
      <c r="A19" s="3"/>
      <c r="B19" s="3"/>
      <c r="C19" s="330"/>
      <c r="D19" s="331"/>
      <c r="E19" s="331"/>
      <c r="F19" s="331"/>
      <c r="G19" s="331"/>
      <c r="H19" s="331"/>
      <c r="I19" s="331"/>
      <c r="J19" s="331"/>
      <c r="K19" s="331"/>
      <c r="L19" s="331"/>
      <c r="M19" s="323"/>
      <c r="N19" s="3"/>
      <c r="O19" s="3"/>
      <c r="P19" s="3"/>
      <c r="Q19" s="3"/>
      <c r="R19" s="3"/>
      <c r="S19" s="3"/>
      <c r="T19" s="3"/>
      <c r="U19" s="3"/>
      <c r="V19" s="3"/>
      <c r="W19" s="3"/>
      <c r="X19" s="3"/>
      <c r="Y19" s="3"/>
      <c r="Z19" s="3"/>
      <c r="AA19" s="3"/>
    </row>
    <row r="20" spans="1:27">
      <c r="A20" s="3"/>
      <c r="B20" s="3"/>
      <c r="C20" s="330"/>
      <c r="D20" s="331" t="s">
        <v>995</v>
      </c>
      <c r="E20" s="331"/>
      <c r="F20" s="331"/>
      <c r="G20" s="331"/>
      <c r="H20" s="331"/>
      <c r="I20" s="331"/>
      <c r="J20" s="331"/>
      <c r="K20" s="331"/>
      <c r="L20" s="331"/>
      <c r="M20" s="323"/>
      <c r="N20" s="3"/>
      <c r="O20" s="3"/>
      <c r="P20" s="3"/>
      <c r="Q20" s="3"/>
      <c r="R20" s="3"/>
      <c r="S20" s="3"/>
      <c r="T20" s="3"/>
      <c r="U20" s="3"/>
      <c r="V20" s="3"/>
      <c r="W20" s="3"/>
      <c r="X20" s="3"/>
      <c r="Y20" s="3"/>
      <c r="Z20" s="3"/>
      <c r="AA20" s="3"/>
    </row>
    <row r="21" spans="1:27">
      <c r="A21" s="3"/>
      <c r="B21" s="3"/>
      <c r="C21" s="330"/>
      <c r="D21" s="331"/>
      <c r="E21" s="331"/>
      <c r="F21" s="331"/>
      <c r="G21" s="331"/>
      <c r="H21" s="331"/>
      <c r="I21" s="331"/>
      <c r="J21" s="331"/>
      <c r="K21" s="331"/>
      <c r="L21" s="331"/>
      <c r="M21" s="323"/>
      <c r="N21" s="3"/>
      <c r="O21" s="3"/>
      <c r="P21" s="3"/>
      <c r="Q21" s="3"/>
      <c r="R21" s="3"/>
      <c r="S21" s="3"/>
      <c r="T21" s="3"/>
      <c r="U21" s="3"/>
      <c r="V21" s="3"/>
      <c r="W21" s="3"/>
      <c r="X21" s="3"/>
      <c r="Y21" s="3"/>
      <c r="Z21" s="3"/>
      <c r="AA21" s="3"/>
    </row>
    <row r="22" spans="1:27" ht="13">
      <c r="A22" s="3"/>
      <c r="B22" s="3"/>
      <c r="C22" s="330"/>
      <c r="D22" s="923" t="s">
        <v>996</v>
      </c>
      <c r="E22" s="331"/>
      <c r="F22" s="331"/>
      <c r="G22" s="331"/>
      <c r="H22" s="331"/>
      <c r="I22" s="331"/>
      <c r="J22" s="331"/>
      <c r="K22" s="331"/>
      <c r="L22" s="331"/>
      <c r="M22" s="323"/>
      <c r="N22" s="3"/>
      <c r="O22" s="3"/>
      <c r="P22" s="3"/>
      <c r="Q22" s="3"/>
      <c r="R22" s="3"/>
      <c r="S22" s="3"/>
      <c r="T22" s="3"/>
      <c r="U22" s="3"/>
      <c r="V22" s="3"/>
      <c r="W22" s="3"/>
      <c r="X22" s="3"/>
      <c r="Y22" s="3"/>
      <c r="Z22" s="3"/>
      <c r="AA22" s="3"/>
    </row>
    <row r="23" spans="1:27">
      <c r="A23" s="3"/>
      <c r="B23" s="3"/>
      <c r="C23" s="330"/>
      <c r="D23" s="331" t="s">
        <v>192</v>
      </c>
      <c r="E23" s="331"/>
      <c r="F23" s="331"/>
      <c r="G23" s="348"/>
      <c r="H23" s="331"/>
      <c r="I23" s="331"/>
      <c r="J23" s="331"/>
      <c r="K23" s="331"/>
      <c r="L23" s="331"/>
      <c r="M23" s="323"/>
      <c r="N23" s="3"/>
      <c r="O23" s="3"/>
      <c r="P23" s="3"/>
      <c r="Q23" s="3"/>
      <c r="R23" s="3"/>
      <c r="S23" s="3"/>
      <c r="T23" s="3"/>
      <c r="U23" s="3"/>
      <c r="V23" s="3"/>
      <c r="W23" s="3"/>
      <c r="X23" s="3"/>
      <c r="Y23" s="3"/>
      <c r="Z23" s="3"/>
      <c r="AA23" s="3"/>
    </row>
    <row r="24" spans="1:27">
      <c r="A24" s="3"/>
      <c r="B24" s="3"/>
      <c r="C24" s="330"/>
      <c r="D24" s="349" t="s">
        <v>997</v>
      </c>
      <c r="E24" s="331"/>
      <c r="F24" s="331"/>
      <c r="G24" s="331"/>
      <c r="H24" s="331"/>
      <c r="I24" s="331"/>
      <c r="J24" s="331"/>
      <c r="K24" s="331"/>
      <c r="L24" s="331"/>
      <c r="M24" s="323"/>
      <c r="N24" s="3"/>
      <c r="O24" s="3"/>
      <c r="P24" s="3"/>
      <c r="Q24" s="3"/>
      <c r="R24" s="3"/>
      <c r="S24" s="3"/>
      <c r="T24" s="3"/>
      <c r="U24" s="3"/>
      <c r="V24" s="3"/>
      <c r="W24" s="3"/>
      <c r="X24" s="3"/>
      <c r="Y24" s="3"/>
      <c r="Z24" s="3"/>
      <c r="AA24" s="3"/>
    </row>
    <row r="25" spans="1:27">
      <c r="A25" s="3"/>
      <c r="B25" s="3"/>
      <c r="C25" s="330"/>
      <c r="D25" s="349" t="s">
        <v>998</v>
      </c>
      <c r="E25" s="331"/>
      <c r="F25" s="331"/>
      <c r="G25" s="331"/>
      <c r="H25" s="331"/>
      <c r="I25" s="331"/>
      <c r="J25" s="331"/>
      <c r="K25" s="331"/>
      <c r="L25" s="331"/>
      <c r="M25" s="323"/>
      <c r="N25" s="3"/>
      <c r="O25" s="3"/>
      <c r="P25" s="3"/>
      <c r="Q25" s="3"/>
      <c r="R25" s="3"/>
      <c r="S25" s="3"/>
      <c r="T25" s="3"/>
      <c r="U25" s="3"/>
      <c r="V25" s="3"/>
      <c r="W25" s="3"/>
      <c r="X25" s="3"/>
      <c r="Y25" s="3"/>
      <c r="Z25" s="3"/>
      <c r="AA25" s="3"/>
    </row>
    <row r="26" spans="1:27">
      <c r="A26" s="3"/>
      <c r="B26" s="3"/>
      <c r="C26" s="330"/>
      <c r="D26" s="349" t="s">
        <v>999</v>
      </c>
      <c r="E26" s="331"/>
      <c r="F26" s="331"/>
      <c r="G26" s="331"/>
      <c r="H26" s="331"/>
      <c r="I26" s="331"/>
      <c r="J26" s="331"/>
      <c r="K26" s="331"/>
      <c r="L26" s="331"/>
      <c r="M26" s="323"/>
      <c r="N26" s="3"/>
      <c r="O26" s="3"/>
      <c r="P26" s="3"/>
      <c r="Q26" s="3"/>
      <c r="R26" s="3"/>
      <c r="S26" s="3"/>
      <c r="T26" s="3"/>
      <c r="U26" s="3"/>
      <c r="V26" s="3"/>
      <c r="W26" s="3"/>
      <c r="X26" s="3"/>
      <c r="Y26" s="3"/>
      <c r="Z26" s="3"/>
      <c r="AA26" s="3"/>
    </row>
    <row r="27" spans="1:27">
      <c r="A27" s="3"/>
      <c r="B27" s="3"/>
      <c r="C27" s="330"/>
      <c r="D27" s="331" t="s">
        <v>1000</v>
      </c>
      <c r="E27" s="331"/>
      <c r="F27" s="331"/>
      <c r="G27" s="331"/>
      <c r="H27" s="331"/>
      <c r="I27" s="331"/>
      <c r="J27" s="331"/>
      <c r="K27" s="331"/>
      <c r="L27" s="331"/>
      <c r="M27" s="323"/>
      <c r="N27" s="3"/>
      <c r="O27" s="3"/>
      <c r="P27" s="3"/>
      <c r="Q27" s="3"/>
      <c r="R27" s="3"/>
      <c r="S27" s="3"/>
      <c r="T27" s="3"/>
      <c r="U27" s="3"/>
      <c r="V27" s="3"/>
      <c r="W27" s="3"/>
      <c r="X27" s="3"/>
      <c r="Y27" s="3"/>
      <c r="Z27" s="3"/>
      <c r="AA27" s="3"/>
    </row>
    <row r="28" spans="1:27">
      <c r="A28" s="3"/>
      <c r="B28" s="3"/>
      <c r="C28" s="330"/>
      <c r="D28" s="349" t="s">
        <v>1001</v>
      </c>
      <c r="E28" s="331"/>
      <c r="F28" s="331"/>
      <c r="G28" s="331"/>
      <c r="H28" s="331"/>
      <c r="I28" s="241" t="s">
        <v>234</v>
      </c>
      <c r="J28" s="331"/>
      <c r="K28" s="331"/>
      <c r="L28" s="331"/>
      <c r="M28" s="323"/>
      <c r="N28" s="3"/>
      <c r="O28" s="3"/>
      <c r="P28" s="3"/>
      <c r="Q28" s="3"/>
      <c r="R28" s="3"/>
      <c r="S28" s="3"/>
      <c r="T28" s="3"/>
      <c r="U28" s="3"/>
      <c r="V28" s="3"/>
      <c r="W28" s="3"/>
      <c r="X28" s="3"/>
      <c r="Y28" s="3"/>
      <c r="Z28" s="3"/>
      <c r="AA28" s="3"/>
    </row>
    <row r="29" spans="1:27">
      <c r="A29" s="3"/>
      <c r="B29" s="3"/>
      <c r="C29" s="330"/>
      <c r="D29" s="350" t="s">
        <v>1002</v>
      </c>
      <c r="E29" s="331"/>
      <c r="F29" s="331"/>
      <c r="G29" s="331"/>
      <c r="H29" s="331"/>
      <c r="I29" s="331"/>
      <c r="J29" s="331"/>
      <c r="K29" s="331"/>
      <c r="L29" s="331"/>
      <c r="M29" s="323"/>
      <c r="N29" s="3"/>
      <c r="O29" s="3"/>
      <c r="P29" s="3"/>
      <c r="Q29" s="3"/>
      <c r="R29" s="3"/>
      <c r="S29" s="3"/>
      <c r="T29" s="3"/>
      <c r="U29" s="3"/>
      <c r="V29" s="3"/>
      <c r="W29" s="3"/>
      <c r="X29" s="3"/>
      <c r="Y29" s="3"/>
      <c r="Z29" s="3"/>
      <c r="AA29" s="3"/>
    </row>
    <row r="30" spans="1:27">
      <c r="A30" s="3"/>
      <c r="B30" s="3"/>
      <c r="C30" s="330"/>
      <c r="D30" s="331" t="s">
        <v>192</v>
      </c>
      <c r="E30" s="331"/>
      <c r="F30" s="331"/>
      <c r="G30" s="331"/>
      <c r="H30" s="331"/>
      <c r="I30" s="331"/>
      <c r="J30" s="331"/>
      <c r="K30" s="331"/>
      <c r="L30" s="331"/>
      <c r="M30" s="323"/>
      <c r="N30" s="3"/>
      <c r="O30" s="3"/>
      <c r="P30" s="3"/>
      <c r="Q30" s="3"/>
      <c r="R30" s="3"/>
      <c r="S30" s="3"/>
      <c r="T30" s="3"/>
      <c r="U30" s="3"/>
      <c r="V30" s="3"/>
      <c r="W30" s="3"/>
      <c r="X30" s="3"/>
      <c r="Y30" s="3"/>
      <c r="Z30" s="3"/>
      <c r="AA30" s="3"/>
    </row>
    <row r="31" spans="1:27">
      <c r="A31" s="3"/>
      <c r="B31" s="3"/>
      <c r="C31" s="330"/>
      <c r="D31" s="331"/>
      <c r="E31" s="331" t="s">
        <v>1003</v>
      </c>
      <c r="F31" s="331"/>
      <c r="G31" s="331"/>
      <c r="H31" s="331"/>
      <c r="I31" s="331"/>
      <c r="J31" s="331"/>
      <c r="K31" s="331"/>
      <c r="L31" s="331"/>
      <c r="M31" s="323"/>
      <c r="N31" s="3"/>
      <c r="O31" s="3"/>
      <c r="P31" s="3"/>
      <c r="Q31" s="3"/>
      <c r="R31" s="3"/>
      <c r="S31" s="3"/>
      <c r="T31" s="3"/>
      <c r="U31" s="3"/>
      <c r="V31" s="3"/>
      <c r="W31" s="3"/>
      <c r="X31" s="3"/>
      <c r="Y31" s="3"/>
      <c r="Z31" s="3"/>
      <c r="AA31" s="3"/>
    </row>
    <row r="32" spans="1:27">
      <c r="A32" s="3"/>
      <c r="B32" s="3"/>
      <c r="C32" s="330"/>
      <c r="D32" s="331"/>
      <c r="E32" s="331" t="s">
        <v>1004</v>
      </c>
      <c r="F32" s="331"/>
      <c r="G32" s="331"/>
      <c r="H32" s="331"/>
      <c r="I32" s="331"/>
      <c r="J32" s="331"/>
      <c r="K32" s="331"/>
      <c r="L32" s="331"/>
      <c r="M32" s="323"/>
      <c r="N32" s="3"/>
      <c r="O32" s="3"/>
      <c r="P32" s="3"/>
      <c r="Q32" s="3"/>
      <c r="R32" s="3"/>
      <c r="S32" s="3"/>
      <c r="T32" s="3"/>
      <c r="U32" s="3"/>
      <c r="V32" s="3"/>
      <c r="W32" s="3"/>
      <c r="X32" s="3"/>
      <c r="Y32" s="3"/>
      <c r="Z32" s="3"/>
      <c r="AA32" s="3"/>
    </row>
    <row r="33" spans="1:27">
      <c r="A33" s="3"/>
      <c r="B33" s="3"/>
      <c r="C33" s="330"/>
      <c r="D33" s="331"/>
      <c r="E33" s="860" t="s">
        <v>1005</v>
      </c>
      <c r="F33" s="331"/>
      <c r="G33" s="331"/>
      <c r="H33" s="331"/>
      <c r="I33" s="331"/>
      <c r="J33" s="331"/>
      <c r="K33" s="331"/>
      <c r="L33" s="331"/>
      <c r="M33" s="323"/>
      <c r="N33" s="3"/>
      <c r="O33" s="3"/>
      <c r="P33" s="3"/>
      <c r="Q33" s="3"/>
      <c r="R33" s="3"/>
      <c r="S33" s="3"/>
      <c r="T33" s="3"/>
      <c r="U33" s="3"/>
      <c r="V33" s="3"/>
      <c r="W33" s="3"/>
      <c r="X33" s="3"/>
      <c r="Y33" s="3"/>
      <c r="Z33" s="3"/>
      <c r="AA33" s="3"/>
    </row>
    <row r="34" spans="1:27">
      <c r="A34" s="3"/>
      <c r="B34" s="3"/>
      <c r="C34" s="330"/>
      <c r="D34" s="331"/>
      <c r="E34" s="331"/>
      <c r="F34" s="331"/>
      <c r="G34" s="331"/>
      <c r="H34" s="331"/>
      <c r="I34" s="331"/>
      <c r="J34" s="331"/>
      <c r="K34" s="331"/>
      <c r="L34" s="331"/>
      <c r="M34" s="323"/>
      <c r="N34" s="3"/>
      <c r="O34" s="3"/>
      <c r="P34" s="3"/>
      <c r="Q34" s="3"/>
      <c r="R34" s="3"/>
      <c r="S34" s="3"/>
      <c r="T34" s="3"/>
      <c r="U34" s="3"/>
      <c r="V34" s="3"/>
      <c r="W34" s="3"/>
      <c r="X34" s="3"/>
      <c r="Y34" s="3"/>
      <c r="Z34" s="3"/>
      <c r="AA34" s="3"/>
    </row>
    <row r="35" spans="1:27">
      <c r="A35" s="3"/>
      <c r="B35" s="3"/>
      <c r="C35" s="330"/>
      <c r="D35" s="331"/>
      <c r="E35" s="331"/>
      <c r="F35" s="331"/>
      <c r="G35" s="331"/>
      <c r="H35" s="331"/>
      <c r="I35" s="331"/>
      <c r="J35" s="331"/>
      <c r="K35" s="331"/>
      <c r="L35" s="331"/>
      <c r="M35" s="323"/>
      <c r="N35" s="3"/>
      <c r="O35" s="3"/>
      <c r="P35" s="3"/>
      <c r="Q35" s="3"/>
      <c r="R35" s="3"/>
      <c r="S35" s="3"/>
      <c r="T35" s="3"/>
      <c r="U35" s="3"/>
      <c r="V35" s="3"/>
      <c r="W35" s="3"/>
      <c r="X35" s="3"/>
      <c r="Y35" s="3"/>
      <c r="Z35" s="3"/>
      <c r="AA35" s="3"/>
    </row>
    <row r="36" spans="1:27">
      <c r="A36" s="3"/>
      <c r="B36" s="3"/>
      <c r="C36" s="330"/>
      <c r="D36" s="331" t="s">
        <v>200</v>
      </c>
      <c r="E36" s="331"/>
      <c r="F36" s="331"/>
      <c r="G36" s="331"/>
      <c r="H36" s="331"/>
      <c r="I36" s="331"/>
      <c r="J36" s="331"/>
      <c r="K36" s="331"/>
      <c r="L36" s="331"/>
      <c r="M36" s="323"/>
      <c r="N36" s="3"/>
      <c r="O36" s="3"/>
      <c r="P36" s="3"/>
      <c r="Q36" s="3"/>
      <c r="R36" s="3"/>
      <c r="S36" s="3"/>
      <c r="T36" s="3"/>
      <c r="U36" s="3"/>
      <c r="V36" s="3"/>
      <c r="W36" s="3"/>
      <c r="X36" s="3"/>
      <c r="Y36" s="3"/>
      <c r="Z36" s="3"/>
      <c r="AA36" s="3"/>
    </row>
    <row r="37" spans="1:27">
      <c r="A37" s="3"/>
      <c r="B37" s="3"/>
      <c r="C37" s="330"/>
      <c r="D37" s="331"/>
      <c r="E37" s="331"/>
      <c r="F37" s="331"/>
      <c r="G37" s="331"/>
      <c r="H37" s="331"/>
      <c r="I37" s="331"/>
      <c r="J37" s="331"/>
      <c r="K37" s="331"/>
      <c r="L37" s="331"/>
      <c r="M37" s="323"/>
      <c r="N37" s="3"/>
      <c r="O37" s="3"/>
      <c r="P37" s="3"/>
      <c r="Q37" s="3"/>
      <c r="R37" s="3"/>
      <c r="S37" s="3"/>
      <c r="T37" s="3"/>
      <c r="U37" s="3"/>
      <c r="V37" s="3"/>
      <c r="W37" s="3"/>
      <c r="X37" s="3"/>
      <c r="Y37" s="3"/>
      <c r="Z37" s="3"/>
      <c r="AA37" s="3"/>
    </row>
    <row r="38" spans="1:27">
      <c r="A38" s="3"/>
      <c r="B38" s="3"/>
      <c r="C38" s="330"/>
      <c r="D38" s="334" t="s">
        <v>715</v>
      </c>
      <c r="E38" s="331" t="s">
        <v>177</v>
      </c>
      <c r="F38" s="331"/>
      <c r="G38" s="459" t="s">
        <v>994</v>
      </c>
      <c r="H38" s="902"/>
      <c r="I38" s="331"/>
      <c r="J38" s="918">
        <v>6.0000000000000001E-3</v>
      </c>
      <c r="K38" s="331" t="s">
        <v>755</v>
      </c>
      <c r="L38" s="331"/>
      <c r="M38" s="323"/>
      <c r="N38" s="3"/>
      <c r="O38" s="3"/>
      <c r="P38" s="3"/>
      <c r="Q38" s="3"/>
      <c r="R38" s="3"/>
      <c r="S38" s="3"/>
      <c r="T38" s="3"/>
      <c r="U38" s="3"/>
      <c r="V38" s="3"/>
      <c r="W38" s="3"/>
      <c r="X38" s="3"/>
      <c r="Y38" s="3"/>
      <c r="Z38" s="3"/>
      <c r="AA38" s="3"/>
    </row>
    <row r="39" spans="1:27">
      <c r="A39" s="3"/>
      <c r="B39" s="3"/>
      <c r="C39" s="330"/>
      <c r="D39" s="331"/>
      <c r="E39" s="331" t="s">
        <v>178</v>
      </c>
      <c r="F39" s="331"/>
      <c r="G39" s="459"/>
      <c r="H39" s="902"/>
      <c r="I39" s="331"/>
      <c r="J39" s="918"/>
      <c r="K39" s="331" t="s">
        <v>755</v>
      </c>
      <c r="L39" s="331"/>
      <c r="M39" s="323"/>
      <c r="N39" s="3"/>
      <c r="O39" s="3"/>
      <c r="P39" s="3"/>
      <c r="Q39" s="3"/>
      <c r="R39" s="3"/>
      <c r="S39" s="3"/>
      <c r="T39" s="3"/>
      <c r="U39" s="3"/>
      <c r="V39" s="3"/>
      <c r="W39" s="3"/>
      <c r="X39" s="3"/>
      <c r="Y39" s="3"/>
      <c r="Z39" s="3"/>
      <c r="AA39" s="3"/>
    </row>
    <row r="40" spans="1:27">
      <c r="A40" s="3"/>
      <c r="B40" s="3"/>
      <c r="C40" s="330"/>
      <c r="D40" s="331"/>
      <c r="E40" s="331" t="s">
        <v>179</v>
      </c>
      <c r="F40" s="331"/>
      <c r="G40" s="459"/>
      <c r="H40" s="902"/>
      <c r="I40" s="331"/>
      <c r="J40" s="918"/>
      <c r="K40" s="331" t="s">
        <v>755</v>
      </c>
      <c r="L40" s="331"/>
      <c r="M40" s="323"/>
      <c r="N40" s="3"/>
      <c r="O40" s="3"/>
      <c r="P40" s="3"/>
      <c r="Q40" s="3"/>
      <c r="R40" s="3"/>
      <c r="S40" s="3"/>
      <c r="T40" s="3"/>
      <c r="U40" s="3"/>
      <c r="V40" s="3"/>
      <c r="W40" s="3"/>
      <c r="X40" s="3"/>
      <c r="Y40" s="3"/>
      <c r="Z40" s="3"/>
      <c r="AA40" s="3"/>
    </row>
    <row r="41" spans="1:27">
      <c r="A41" s="3"/>
      <c r="B41" s="3"/>
      <c r="C41" s="330"/>
      <c r="D41" s="331"/>
      <c r="E41" s="331"/>
      <c r="F41" s="331"/>
      <c r="G41" s="331"/>
      <c r="H41" s="331"/>
      <c r="I41" s="331"/>
      <c r="J41" s="336"/>
      <c r="K41" s="331"/>
      <c r="L41" s="331"/>
      <c r="M41" s="323"/>
      <c r="N41" s="3"/>
      <c r="O41" s="3"/>
      <c r="P41" s="3"/>
      <c r="Q41" s="3"/>
      <c r="R41" s="3"/>
      <c r="S41" s="3"/>
      <c r="T41" s="3"/>
      <c r="U41" s="3"/>
      <c r="V41" s="3"/>
      <c r="W41" s="3"/>
      <c r="X41" s="3"/>
      <c r="Y41" s="3"/>
      <c r="Z41" s="3"/>
      <c r="AA41" s="3"/>
    </row>
    <row r="42" spans="1:27">
      <c r="A42" s="3"/>
      <c r="B42" s="3"/>
      <c r="C42" s="330"/>
      <c r="D42" s="331"/>
      <c r="E42" s="900" t="s">
        <v>953</v>
      </c>
      <c r="F42" s="331"/>
      <c r="G42" s="331"/>
      <c r="H42" s="331"/>
      <c r="I42" s="331"/>
      <c r="J42" s="336"/>
      <c r="K42" s="331"/>
      <c r="L42" s="331"/>
      <c r="M42" s="323"/>
      <c r="N42" s="3"/>
      <c r="O42" s="3"/>
      <c r="P42" s="3"/>
      <c r="Q42" s="3"/>
      <c r="R42" s="3"/>
      <c r="S42" s="3"/>
      <c r="T42" s="3"/>
      <c r="U42" s="3"/>
      <c r="V42" s="3"/>
      <c r="W42" s="3"/>
      <c r="X42" s="3"/>
      <c r="Y42" s="3"/>
      <c r="Z42" s="3"/>
      <c r="AA42" s="3"/>
    </row>
    <row r="43" spans="1:27">
      <c r="A43" s="3"/>
      <c r="B43" s="3"/>
      <c r="C43" s="330"/>
      <c r="D43" s="331"/>
      <c r="E43" s="900" t="s">
        <v>948</v>
      </c>
      <c r="F43" s="331"/>
      <c r="G43" s="331"/>
      <c r="H43" s="919">
        <v>1.26</v>
      </c>
      <c r="I43" s="908" t="s">
        <v>958</v>
      </c>
      <c r="J43" s="905">
        <f>Frequency!$M$10</f>
        <v>436.5</v>
      </c>
      <c r="K43" s="331" t="s">
        <v>754</v>
      </c>
      <c r="L43" s="331"/>
      <c r="M43" s="323"/>
      <c r="N43" s="3"/>
      <c r="O43" s="3"/>
      <c r="P43" s="3"/>
      <c r="Q43" s="3"/>
      <c r="R43" s="3"/>
      <c r="S43" s="3"/>
      <c r="T43" s="3"/>
      <c r="U43" s="3"/>
      <c r="V43" s="3"/>
      <c r="W43" s="3"/>
      <c r="X43" s="3"/>
      <c r="Y43" s="3"/>
      <c r="Z43" s="3"/>
      <c r="AA43" s="3"/>
    </row>
    <row r="44" spans="1:27">
      <c r="A44" s="3"/>
      <c r="B44" s="3"/>
      <c r="C44" s="330"/>
      <c r="D44" s="331"/>
      <c r="E44" s="900" t="s">
        <v>949</v>
      </c>
      <c r="F44" s="331"/>
      <c r="G44" s="331"/>
      <c r="H44" s="919"/>
      <c r="I44" s="908" t="s">
        <v>958</v>
      </c>
      <c r="J44" s="905">
        <f>Frequency!$M$10</f>
        <v>436.5</v>
      </c>
      <c r="K44" s="331" t="s">
        <v>754</v>
      </c>
      <c r="L44" s="331"/>
      <c r="M44" s="323"/>
      <c r="N44" s="3"/>
      <c r="O44" s="3"/>
      <c r="P44" s="3"/>
      <c r="Q44" s="3"/>
      <c r="R44" s="3"/>
      <c r="S44" s="3"/>
      <c r="T44" s="3"/>
      <c r="U44" s="3"/>
      <c r="V44" s="3"/>
      <c r="W44" s="3"/>
      <c r="X44" s="3"/>
      <c r="Y44" s="3"/>
      <c r="Z44" s="3"/>
      <c r="AA44" s="3"/>
    </row>
    <row r="45" spans="1:27" ht="13">
      <c r="A45" s="3"/>
      <c r="B45" s="3"/>
      <c r="C45" s="330"/>
      <c r="D45" s="331"/>
      <c r="E45" s="900" t="s">
        <v>950</v>
      </c>
      <c r="F45" s="331"/>
      <c r="G45" s="331"/>
      <c r="H45" s="919"/>
      <c r="I45" s="908" t="s">
        <v>958</v>
      </c>
      <c r="J45" s="905">
        <f>Frequency!$M$10</f>
        <v>436.5</v>
      </c>
      <c r="K45" s="331" t="s">
        <v>754</v>
      </c>
      <c r="L45" s="331"/>
      <c r="M45" s="323"/>
      <c r="N45" s="3"/>
      <c r="O45" s="356" t="s">
        <v>677</v>
      </c>
      <c r="P45" s="367"/>
      <c r="Q45" s="293"/>
      <c r="R45" s="293"/>
      <c r="S45" s="293"/>
      <c r="T45" s="293"/>
      <c r="U45" s="293"/>
      <c r="V45" s="243" t="s">
        <v>140</v>
      </c>
      <c r="W45" s="3"/>
      <c r="X45" s="3"/>
      <c r="Y45" s="3"/>
      <c r="Z45" s="3"/>
      <c r="AA45" s="3"/>
    </row>
    <row r="46" spans="1:27">
      <c r="A46" s="3"/>
      <c r="B46" s="3"/>
      <c r="C46" s="330"/>
      <c r="D46" s="331"/>
      <c r="E46" s="331"/>
      <c r="F46" s="331"/>
      <c r="G46" s="331"/>
      <c r="H46" s="331"/>
      <c r="I46" s="331"/>
      <c r="J46" s="331"/>
      <c r="K46" s="331"/>
      <c r="L46" s="331"/>
      <c r="M46" s="323"/>
      <c r="N46" s="3"/>
      <c r="O46" s="295"/>
      <c r="P46" s="297"/>
      <c r="Q46" s="297"/>
      <c r="R46" s="297"/>
      <c r="S46" s="297"/>
      <c r="T46" s="297"/>
      <c r="U46" s="297"/>
      <c r="V46" s="357"/>
      <c r="W46" s="3"/>
      <c r="X46" s="3"/>
      <c r="Y46" s="3"/>
      <c r="Z46" s="3"/>
      <c r="AA46" s="3"/>
    </row>
    <row r="47" spans="1:27">
      <c r="A47" s="3"/>
      <c r="B47" s="3"/>
      <c r="C47" s="330"/>
      <c r="D47" s="331"/>
      <c r="E47" s="331" t="s">
        <v>205</v>
      </c>
      <c r="F47" s="331"/>
      <c r="G47" s="331"/>
      <c r="H47" s="331"/>
      <c r="I47" s="331" t="s">
        <v>202</v>
      </c>
      <c r="J47" s="331">
        <f>J38*H43</f>
        <v>7.5599999999999999E-3</v>
      </c>
      <c r="K47" s="906" t="s">
        <v>757</v>
      </c>
      <c r="L47" s="331"/>
      <c r="M47" s="323"/>
      <c r="N47" s="3"/>
      <c r="O47" s="295"/>
      <c r="P47" s="297"/>
      <c r="Q47" s="297" t="s">
        <v>1007</v>
      </c>
      <c r="R47" s="297"/>
      <c r="S47" s="297"/>
      <c r="T47" s="297"/>
      <c r="U47" s="297"/>
      <c r="V47" s="357"/>
      <c r="W47" s="3"/>
      <c r="X47" s="3"/>
      <c r="Y47" s="3"/>
      <c r="Z47" s="3"/>
      <c r="AA47" s="3"/>
    </row>
    <row r="48" spans="1:27">
      <c r="A48" s="3"/>
      <c r="B48" s="3"/>
      <c r="C48" s="330"/>
      <c r="D48" s="331"/>
      <c r="E48" s="331" t="s">
        <v>209</v>
      </c>
      <c r="F48" s="331"/>
      <c r="G48" s="331"/>
      <c r="H48" s="331"/>
      <c r="I48" s="331" t="s">
        <v>203</v>
      </c>
      <c r="J48" s="331">
        <f t="shared" ref="J48:J49" si="0">J39*H44</f>
        <v>0</v>
      </c>
      <c r="K48" s="906" t="s">
        <v>757</v>
      </c>
      <c r="L48" s="331"/>
      <c r="M48" s="323"/>
      <c r="N48" s="3"/>
      <c r="O48" s="295"/>
      <c r="P48" s="297"/>
      <c r="Q48" s="297"/>
      <c r="R48" s="297" t="s">
        <v>228</v>
      </c>
      <c r="S48" s="297"/>
      <c r="T48" s="297"/>
      <c r="U48" s="297"/>
      <c r="V48" s="357"/>
      <c r="W48" s="3"/>
      <c r="X48" s="3"/>
      <c r="Y48" s="3"/>
      <c r="Z48" s="3"/>
      <c r="AA48" s="3"/>
    </row>
    <row r="49" spans="1:27">
      <c r="A49" s="3"/>
      <c r="B49" s="3"/>
      <c r="C49" s="330"/>
      <c r="D49" s="331"/>
      <c r="E49" s="331" t="s">
        <v>210</v>
      </c>
      <c r="F49" s="331"/>
      <c r="G49" s="331"/>
      <c r="H49" s="331"/>
      <c r="I49" s="331" t="s">
        <v>204</v>
      </c>
      <c r="J49" s="331">
        <f t="shared" si="0"/>
        <v>0</v>
      </c>
      <c r="K49" s="331" t="s">
        <v>757</v>
      </c>
      <c r="L49" s="331"/>
      <c r="M49" s="323"/>
      <c r="N49" s="3"/>
      <c r="O49" s="295"/>
      <c r="P49" s="297"/>
      <c r="Q49" s="297" t="s">
        <v>1008</v>
      </c>
      <c r="R49" s="297"/>
      <c r="S49" s="297"/>
      <c r="T49" s="684" t="s">
        <v>1009</v>
      </c>
      <c r="U49" s="241">
        <f>J61</f>
        <v>290</v>
      </c>
      <c r="V49" s="357" t="s">
        <v>785</v>
      </c>
      <c r="W49" s="3"/>
      <c r="X49" s="3"/>
      <c r="Y49" s="3"/>
      <c r="Z49" s="3"/>
      <c r="AA49" s="3"/>
    </row>
    <row r="50" spans="1:27">
      <c r="A50" s="3"/>
      <c r="B50" s="3"/>
      <c r="C50" s="330"/>
      <c r="D50" s="331"/>
      <c r="E50" s="331" t="s">
        <v>211</v>
      </c>
      <c r="F50" s="331"/>
      <c r="G50" s="331"/>
      <c r="H50" s="331"/>
      <c r="I50" s="331" t="s">
        <v>212</v>
      </c>
      <c r="J50" s="898">
        <v>0.81</v>
      </c>
      <c r="K50" s="331" t="s">
        <v>757</v>
      </c>
      <c r="L50" s="331" t="s">
        <v>978</v>
      </c>
      <c r="M50" s="323"/>
      <c r="N50" s="3"/>
      <c r="O50" s="295"/>
      <c r="P50" s="297"/>
      <c r="Q50" s="297"/>
      <c r="R50" s="297"/>
      <c r="S50" s="297"/>
      <c r="T50" s="297"/>
      <c r="U50" s="297"/>
      <c r="V50" s="357"/>
      <c r="W50" s="3"/>
      <c r="X50" s="3"/>
      <c r="Y50" s="3"/>
      <c r="Z50" s="3"/>
      <c r="AA50" s="3"/>
    </row>
    <row r="51" spans="1:27">
      <c r="A51" s="3"/>
      <c r="B51" s="3"/>
      <c r="C51" s="330"/>
      <c r="D51" s="331"/>
      <c r="E51" s="331" t="s">
        <v>213</v>
      </c>
      <c r="F51" s="331"/>
      <c r="G51" s="331"/>
      <c r="H51" s="331"/>
      <c r="I51" s="331" t="s">
        <v>214</v>
      </c>
      <c r="J51" s="909">
        <v>0.2</v>
      </c>
      <c r="K51" s="331" t="s">
        <v>757</v>
      </c>
      <c r="L51" s="331"/>
      <c r="M51" s="913" t="s">
        <v>979</v>
      </c>
      <c r="N51" s="3"/>
      <c r="O51" s="295"/>
      <c r="P51" s="297"/>
      <c r="Q51" s="297"/>
      <c r="R51" s="297"/>
      <c r="S51" s="297"/>
      <c r="T51" s="297"/>
      <c r="U51" s="297"/>
      <c r="V51" s="357"/>
      <c r="W51" s="3"/>
      <c r="X51" s="3"/>
      <c r="Y51" s="3"/>
      <c r="Z51" s="3"/>
      <c r="AA51" s="3"/>
    </row>
    <row r="52" spans="1:27">
      <c r="A52" s="3"/>
      <c r="B52" s="3"/>
      <c r="C52" s="330"/>
      <c r="D52" s="331"/>
      <c r="E52" s="331" t="s">
        <v>213</v>
      </c>
      <c r="F52" s="331"/>
      <c r="G52" s="331"/>
      <c r="H52" s="331"/>
      <c r="I52" s="331" t="s">
        <v>214</v>
      </c>
      <c r="J52" s="909"/>
      <c r="K52" s="331"/>
      <c r="L52" s="331"/>
      <c r="M52" s="924"/>
      <c r="N52" s="3"/>
      <c r="O52" s="295"/>
      <c r="P52" s="297"/>
      <c r="Q52" s="358" t="s">
        <v>1010</v>
      </c>
      <c r="R52" s="128">
        <v>0.39</v>
      </c>
      <c r="S52" s="297" t="s">
        <v>757</v>
      </c>
      <c r="T52" s="358" t="s">
        <v>229</v>
      </c>
      <c r="U52" s="347">
        <f>J61*(10^(R52/10)-1)</f>
        <v>27.247346218907236</v>
      </c>
      <c r="V52" s="357" t="s">
        <v>785</v>
      </c>
      <c r="W52" s="3"/>
      <c r="X52" s="3"/>
      <c r="Y52" s="3"/>
      <c r="Z52" s="3"/>
      <c r="AA52" s="3"/>
    </row>
    <row r="53" spans="1:27">
      <c r="A53" s="3"/>
      <c r="B53" s="3"/>
      <c r="C53" s="330"/>
      <c r="D53" s="331"/>
      <c r="E53" s="331" t="s">
        <v>232</v>
      </c>
      <c r="F53" s="331"/>
      <c r="G53" s="331"/>
      <c r="H53" s="264">
        <v>6</v>
      </c>
      <c r="I53" s="915" t="s">
        <v>1075</v>
      </c>
      <c r="J53" s="911">
        <f>H53*0.066</f>
        <v>0.39600000000000002</v>
      </c>
      <c r="K53" s="331" t="s">
        <v>757</v>
      </c>
      <c r="L53" s="331"/>
      <c r="M53" s="924" t="s">
        <v>1073</v>
      </c>
      <c r="N53" s="3"/>
      <c r="O53" s="295"/>
      <c r="P53" s="297"/>
      <c r="Q53" s="297"/>
      <c r="R53" s="297"/>
      <c r="S53" s="297"/>
      <c r="T53" s="297"/>
      <c r="U53" s="297"/>
      <c r="V53" s="357"/>
      <c r="W53" s="3"/>
      <c r="X53" s="3"/>
      <c r="Y53" s="3"/>
      <c r="Z53" s="3"/>
      <c r="AA53" s="3"/>
    </row>
    <row r="54" spans="1:27">
      <c r="A54" s="3"/>
      <c r="B54" s="3"/>
      <c r="C54" s="330"/>
      <c r="D54" s="331"/>
      <c r="E54" s="331"/>
      <c r="F54" s="331"/>
      <c r="G54" s="331"/>
      <c r="H54" s="331"/>
      <c r="I54" s="331"/>
      <c r="J54" s="331"/>
      <c r="K54" s="331"/>
      <c r="L54" s="331"/>
      <c r="M54" s="323"/>
      <c r="N54" s="3"/>
      <c r="O54" s="295"/>
      <c r="P54" s="297"/>
      <c r="Q54" s="297"/>
      <c r="R54" s="297"/>
      <c r="S54" s="297"/>
      <c r="T54" s="297"/>
      <c r="U54" s="297"/>
      <c r="V54" s="357"/>
      <c r="W54" s="3"/>
      <c r="X54" s="3"/>
      <c r="Y54" s="3"/>
      <c r="Z54" s="3"/>
      <c r="AA54" s="3"/>
    </row>
    <row r="55" spans="1:27">
      <c r="A55" s="3"/>
      <c r="B55" s="3"/>
      <c r="C55" s="330"/>
      <c r="D55" s="331"/>
      <c r="E55" s="331" t="s">
        <v>215</v>
      </c>
      <c r="F55" s="331"/>
      <c r="G55" s="331"/>
      <c r="H55" s="331"/>
      <c r="I55" s="331"/>
      <c r="J55" s="973">
        <f>SUM(J47:J53)</f>
        <v>1.4135599999999999</v>
      </c>
      <c r="K55" s="331" t="s">
        <v>757</v>
      </c>
      <c r="L55" s="331"/>
      <c r="M55" s="323"/>
      <c r="N55" s="3"/>
      <c r="O55" s="295"/>
      <c r="P55" s="297"/>
      <c r="Q55" s="358" t="s">
        <v>229</v>
      </c>
      <c r="R55" s="129">
        <v>500</v>
      </c>
      <c r="S55" s="297" t="s">
        <v>785</v>
      </c>
      <c r="T55" s="358" t="s">
        <v>1011</v>
      </c>
      <c r="U55" s="355">
        <f>10*LOG10(1+(R55/J61))</f>
        <v>4.352290933914853</v>
      </c>
      <c r="V55" s="357" t="s">
        <v>757</v>
      </c>
      <c r="W55" s="3"/>
      <c r="X55" s="3"/>
      <c r="Y55" s="3"/>
      <c r="Z55" s="3"/>
      <c r="AA55" s="3"/>
    </row>
    <row r="56" spans="1:27">
      <c r="A56" s="3"/>
      <c r="B56" s="3"/>
      <c r="C56" s="330"/>
      <c r="D56" s="331"/>
      <c r="E56" s="331"/>
      <c r="F56" s="331"/>
      <c r="G56" s="331"/>
      <c r="H56" s="331"/>
      <c r="I56" s="331"/>
      <c r="J56" s="331"/>
      <c r="K56" s="331"/>
      <c r="L56" s="331"/>
      <c r="M56" s="323"/>
      <c r="N56" s="3"/>
      <c r="O56" s="298"/>
      <c r="P56" s="299"/>
      <c r="Q56" s="299"/>
      <c r="R56" s="299"/>
      <c r="S56" s="299"/>
      <c r="T56" s="299"/>
      <c r="U56" s="299"/>
      <c r="V56" s="300"/>
      <c r="W56" s="3"/>
      <c r="X56" s="3"/>
      <c r="Y56" s="3"/>
      <c r="Z56" s="3"/>
      <c r="AA56" s="3"/>
    </row>
    <row r="57" spans="1:27">
      <c r="A57" s="3"/>
      <c r="B57" s="3"/>
      <c r="C57" s="330"/>
      <c r="D57" s="331" t="s">
        <v>216</v>
      </c>
      <c r="E57" s="331"/>
      <c r="F57" s="331"/>
      <c r="G57" s="331"/>
      <c r="H57" s="331"/>
      <c r="I57" s="353" t="s">
        <v>217</v>
      </c>
      <c r="J57" s="346">
        <f>10^-(J55/10)</f>
        <v>0.72217757729003829</v>
      </c>
      <c r="K57" s="331"/>
      <c r="L57" s="331"/>
      <c r="M57" s="323"/>
      <c r="N57" s="3"/>
      <c r="O57" s="3"/>
      <c r="P57" s="3"/>
      <c r="Q57" s="3"/>
      <c r="R57" s="3"/>
      <c r="S57" s="3"/>
      <c r="T57" s="3"/>
      <c r="U57" s="3"/>
      <c r="V57" s="3"/>
      <c r="W57" s="3"/>
      <c r="X57" s="3"/>
      <c r="Y57" s="3"/>
      <c r="Z57" s="3"/>
      <c r="AA57" s="3"/>
    </row>
    <row r="58" spans="1:27">
      <c r="A58" s="3"/>
      <c r="B58" s="3"/>
      <c r="C58" s="330"/>
      <c r="D58" s="331"/>
      <c r="E58" s="331"/>
      <c r="F58" s="331"/>
      <c r="G58" s="331"/>
      <c r="H58" s="331"/>
      <c r="I58" s="331"/>
      <c r="J58" s="331"/>
      <c r="K58" s="331"/>
      <c r="L58" s="331"/>
      <c r="M58" s="323"/>
      <c r="N58" s="3"/>
      <c r="O58" s="3"/>
      <c r="P58" s="3"/>
      <c r="Q58" s="3"/>
      <c r="R58" s="3"/>
      <c r="S58" s="3"/>
      <c r="T58" s="3"/>
      <c r="U58" s="3"/>
      <c r="V58" s="3"/>
      <c r="W58" s="3"/>
      <c r="X58" s="3"/>
      <c r="Y58" s="3"/>
      <c r="Z58" s="3"/>
      <c r="AA58" s="3"/>
    </row>
    <row r="59" spans="1:27" ht="13">
      <c r="A59" s="3"/>
      <c r="B59" s="3"/>
      <c r="C59" s="330"/>
      <c r="D59" s="331" t="s">
        <v>218</v>
      </c>
      <c r="E59" s="331"/>
      <c r="F59" s="331"/>
      <c r="G59" s="241" t="s">
        <v>140</v>
      </c>
      <c r="H59" s="331"/>
      <c r="I59" s="331" t="s">
        <v>219</v>
      </c>
      <c r="J59" s="343">
        <v>140</v>
      </c>
      <c r="K59" s="331" t="s">
        <v>785</v>
      </c>
      <c r="L59" s="331"/>
      <c r="M59" s="323"/>
      <c r="N59" s="3"/>
      <c r="O59" s="925" t="s">
        <v>975</v>
      </c>
      <c r="P59" s="926"/>
      <c r="Q59" s="926"/>
      <c r="R59" s="926"/>
      <c r="S59" s="926"/>
      <c r="T59" s="926"/>
      <c r="U59" s="926"/>
      <c r="V59" s="926"/>
      <c r="W59" s="926"/>
      <c r="X59" s="926"/>
      <c r="Y59" s="926"/>
      <c r="Z59" s="926"/>
      <c r="AA59" s="927"/>
    </row>
    <row r="60" spans="1:27">
      <c r="A60" s="3"/>
      <c r="B60" s="3"/>
      <c r="C60" s="330"/>
      <c r="D60" s="331"/>
      <c r="E60" s="331"/>
      <c r="F60" s="331"/>
      <c r="G60" s="331"/>
      <c r="H60" s="331"/>
      <c r="I60" s="331"/>
      <c r="J60" s="331"/>
      <c r="K60" s="331"/>
      <c r="L60" s="331"/>
      <c r="M60" s="323"/>
      <c r="N60" s="3"/>
      <c r="O60" s="928"/>
      <c r="P60" s="929"/>
      <c r="Q60" s="929"/>
      <c r="R60" s="929"/>
      <c r="S60" s="929"/>
      <c r="T60" s="929"/>
      <c r="U60" s="929"/>
      <c r="V60" s="929"/>
      <c r="W60" s="929"/>
      <c r="X60" s="929"/>
      <c r="Y60" s="929"/>
      <c r="Z60" s="929"/>
      <c r="AA60" s="930"/>
    </row>
    <row r="61" spans="1:27" ht="15" thickBot="1">
      <c r="A61" s="3"/>
      <c r="B61" s="3"/>
      <c r="C61" s="330"/>
      <c r="D61" s="331" t="s">
        <v>220</v>
      </c>
      <c r="E61" s="331"/>
      <c r="F61" s="331"/>
      <c r="G61" s="331"/>
      <c r="H61" s="331"/>
      <c r="I61" s="331" t="s">
        <v>221</v>
      </c>
      <c r="J61" s="343">
        <v>290</v>
      </c>
      <c r="K61" s="331" t="s">
        <v>785</v>
      </c>
      <c r="L61" s="331"/>
      <c r="M61" s="323"/>
      <c r="N61" s="3"/>
      <c r="O61" s="931" t="s">
        <v>960</v>
      </c>
      <c r="P61" s="932" t="s">
        <v>961</v>
      </c>
      <c r="Q61" s="933"/>
      <c r="R61" s="931" t="s">
        <v>962</v>
      </c>
      <c r="S61" s="931" t="s">
        <v>963</v>
      </c>
      <c r="T61" s="931"/>
      <c r="U61" s="931" t="s">
        <v>964</v>
      </c>
      <c r="V61" s="931" t="s">
        <v>965</v>
      </c>
      <c r="W61" s="931" t="s">
        <v>966</v>
      </c>
      <c r="X61" s="931" t="s">
        <v>967</v>
      </c>
      <c r="Y61" s="931" t="s">
        <v>968</v>
      </c>
      <c r="Z61" s="931" t="s">
        <v>969</v>
      </c>
      <c r="AA61" s="931" t="s">
        <v>970</v>
      </c>
    </row>
    <row r="62" spans="1:27">
      <c r="A62" s="3"/>
      <c r="B62" s="3"/>
      <c r="C62" s="330"/>
      <c r="D62" s="331"/>
      <c r="E62" s="331"/>
      <c r="F62" s="331"/>
      <c r="G62" s="331"/>
      <c r="H62" s="331"/>
      <c r="I62" s="331"/>
      <c r="J62" s="331"/>
      <c r="K62" s="331"/>
      <c r="L62" s="331"/>
      <c r="M62" s="323"/>
      <c r="N62" s="3"/>
      <c r="O62" s="934">
        <v>1</v>
      </c>
      <c r="P62" s="935" t="s">
        <v>980</v>
      </c>
      <c r="Q62" s="936"/>
      <c r="R62" s="937">
        <v>-1.9</v>
      </c>
      <c r="S62" s="937">
        <v>1.9</v>
      </c>
      <c r="T62" s="938"/>
      <c r="U62" s="939">
        <f>IF(R62,10^(R62/10), "")</f>
        <v>0.64565422903465541</v>
      </c>
      <c r="V62" s="939">
        <f>IF(S62,10^(S62/10), "")</f>
        <v>1.5488166189124815</v>
      </c>
      <c r="W62" s="939">
        <f>IF(S62,1,"")</f>
        <v>1</v>
      </c>
      <c r="X62" s="938">
        <f>IF(S62,290*(V62-1), "")</f>
        <v>159.15681948461963</v>
      </c>
      <c r="Y62" s="938">
        <f t="shared" ref="Y62:Y71" si="1">IF(S62,X62/W62, "")</f>
        <v>159.15681948461963</v>
      </c>
      <c r="Z62" s="939">
        <f>IF(S62,(V62-1)/W62, "")</f>
        <v>0.54881661891248146</v>
      </c>
      <c r="AA62" s="939">
        <f>IF(S62,Z62+1, "")</f>
        <v>1.5488166189124815</v>
      </c>
    </row>
    <row r="63" spans="1:27">
      <c r="A63" s="3"/>
      <c r="B63" s="3"/>
      <c r="C63" s="330"/>
      <c r="D63" s="331" t="s">
        <v>222</v>
      </c>
      <c r="E63" s="331"/>
      <c r="F63" s="331"/>
      <c r="G63" s="331"/>
      <c r="H63" s="331"/>
      <c r="I63" s="331" t="s">
        <v>223</v>
      </c>
      <c r="J63" s="343">
        <v>27</v>
      </c>
      <c r="K63" s="331" t="s">
        <v>785</v>
      </c>
      <c r="L63" s="331"/>
      <c r="M63" s="323"/>
      <c r="N63" s="3"/>
      <c r="O63" s="934">
        <v>2</v>
      </c>
      <c r="P63" s="940" t="s">
        <v>977</v>
      </c>
      <c r="Q63" s="941"/>
      <c r="R63" s="937"/>
      <c r="S63" s="937">
        <v>6</v>
      </c>
      <c r="T63" s="938"/>
      <c r="U63" s="939" t="str">
        <f t="shared" ref="U63:V71" si="2">IF(R63,10^(R63/10), "")</f>
        <v/>
      </c>
      <c r="V63" s="939">
        <f t="shared" si="2"/>
        <v>3.9810717055349727</v>
      </c>
      <c r="W63" s="939">
        <f t="shared" ref="W63:W71" si="3">IF(S63,W62*U62, "")</f>
        <v>0.64565422903465541</v>
      </c>
      <c r="X63" s="938">
        <f t="shared" ref="X63:X71" si="4">IF(S63,290*(V63-1), "")</f>
        <v>864.51079460514211</v>
      </c>
      <c r="Y63" s="938">
        <f t="shared" si="1"/>
        <v>1338.9686859136791</v>
      </c>
      <c r="Z63" s="939">
        <f t="shared" ref="Z63:Z71" si="5">IF(S63,(V63-1)/W63, "")</f>
        <v>4.6171333997023414</v>
      </c>
      <c r="AA63" s="939">
        <f>IF(S63, AA62+Z63, "")</f>
        <v>6.1659500186148231</v>
      </c>
    </row>
    <row r="64" spans="1:27">
      <c r="A64" s="3"/>
      <c r="B64" s="3"/>
      <c r="C64" s="330"/>
      <c r="D64" s="331"/>
      <c r="E64" s="331"/>
      <c r="F64" s="331"/>
      <c r="G64" s="331"/>
      <c r="H64" s="331"/>
      <c r="I64" s="331"/>
      <c r="J64" s="331"/>
      <c r="K64" s="331"/>
      <c r="L64" s="331"/>
      <c r="M64" s="323"/>
      <c r="N64" s="3"/>
      <c r="O64" s="934">
        <v>3</v>
      </c>
      <c r="P64" s="940"/>
      <c r="Q64" s="941"/>
      <c r="R64" s="937"/>
      <c r="S64" s="937"/>
      <c r="T64" s="938"/>
      <c r="U64" s="939" t="str">
        <f t="shared" si="2"/>
        <v/>
      </c>
      <c r="V64" s="939" t="str">
        <f t="shared" si="2"/>
        <v/>
      </c>
      <c r="W64" s="939" t="str">
        <f t="shared" si="3"/>
        <v/>
      </c>
      <c r="X64" s="938" t="str">
        <f t="shared" si="4"/>
        <v/>
      </c>
      <c r="Y64" s="938" t="str">
        <f t="shared" si="1"/>
        <v/>
      </c>
      <c r="Z64" s="939" t="str">
        <f t="shared" si="5"/>
        <v/>
      </c>
      <c r="AA64" s="939" t="str">
        <f t="shared" ref="AA64:AA71" si="6">IF(S64, AA63+Z64, "")</f>
        <v/>
      </c>
    </row>
    <row r="65" spans="1:27">
      <c r="A65" s="3"/>
      <c r="B65" s="3"/>
      <c r="C65" s="330"/>
      <c r="D65" s="331" t="s">
        <v>224</v>
      </c>
      <c r="E65" s="331"/>
      <c r="F65" s="344">
        <v>24</v>
      </c>
      <c r="G65" s="331" t="s">
        <v>757</v>
      </c>
      <c r="H65" s="331"/>
      <c r="I65" s="331" t="s">
        <v>225</v>
      </c>
      <c r="J65" s="351">
        <f>10^(F65/10)</f>
        <v>251.18864315095806</v>
      </c>
      <c r="K65" s="331"/>
      <c r="L65" s="331"/>
      <c r="M65" s="913" t="s">
        <v>976</v>
      </c>
      <c r="N65" s="3"/>
      <c r="O65" s="934">
        <v>4</v>
      </c>
      <c r="P65" s="940"/>
      <c r="Q65" s="941"/>
      <c r="R65" s="937"/>
      <c r="S65" s="937"/>
      <c r="T65" s="938"/>
      <c r="U65" s="939" t="str">
        <f t="shared" si="2"/>
        <v/>
      </c>
      <c r="V65" s="939" t="str">
        <f t="shared" si="2"/>
        <v/>
      </c>
      <c r="W65" s="939" t="str">
        <f t="shared" si="3"/>
        <v/>
      </c>
      <c r="X65" s="938" t="str">
        <f t="shared" si="4"/>
        <v/>
      </c>
      <c r="Y65" s="938" t="str">
        <f t="shared" si="1"/>
        <v/>
      </c>
      <c r="Z65" s="939" t="str">
        <f t="shared" si="5"/>
        <v/>
      </c>
      <c r="AA65" s="939" t="str">
        <f t="shared" si="6"/>
        <v/>
      </c>
    </row>
    <row r="66" spans="1:27">
      <c r="A66" s="3"/>
      <c r="B66" s="3"/>
      <c r="C66" s="330"/>
      <c r="D66" s="331"/>
      <c r="E66" s="331"/>
      <c r="F66" s="331"/>
      <c r="G66" s="331"/>
      <c r="H66" s="331"/>
      <c r="I66" s="331"/>
      <c r="J66" s="331"/>
      <c r="K66" s="331"/>
      <c r="L66" s="331"/>
      <c r="M66" s="323"/>
      <c r="N66" s="3"/>
      <c r="O66" s="934">
        <v>5</v>
      </c>
      <c r="P66" s="940"/>
      <c r="Q66" s="941"/>
      <c r="R66" s="937"/>
      <c r="S66" s="937"/>
      <c r="T66" s="938"/>
      <c r="U66" s="939" t="str">
        <f t="shared" si="2"/>
        <v/>
      </c>
      <c r="V66" s="939" t="str">
        <f t="shared" si="2"/>
        <v/>
      </c>
      <c r="W66" s="939" t="str">
        <f t="shared" si="3"/>
        <v/>
      </c>
      <c r="X66" s="938" t="str">
        <f t="shared" si="4"/>
        <v/>
      </c>
      <c r="Y66" s="938" t="str">
        <f t="shared" si="1"/>
        <v/>
      </c>
      <c r="Z66" s="939" t="str">
        <f t="shared" si="5"/>
        <v/>
      </c>
      <c r="AA66" s="939" t="str">
        <f t="shared" si="6"/>
        <v/>
      </c>
    </row>
    <row r="67" spans="1:27" ht="13">
      <c r="A67" s="3"/>
      <c r="B67" s="3"/>
      <c r="C67" s="330"/>
      <c r="D67" s="331" t="s">
        <v>108</v>
      </c>
      <c r="E67" s="331"/>
      <c r="F67" s="331"/>
      <c r="G67" s="331"/>
      <c r="H67" s="331"/>
      <c r="I67" s="331" t="s">
        <v>1006</v>
      </c>
      <c r="J67" s="374">
        <f>Y73</f>
        <v>1498.1255053982986</v>
      </c>
      <c r="K67" s="331" t="s">
        <v>785</v>
      </c>
      <c r="L67" s="331"/>
      <c r="M67" s="323"/>
      <c r="N67" s="3"/>
      <c r="O67" s="934">
        <v>8</v>
      </c>
      <c r="P67" s="940"/>
      <c r="Q67" s="941"/>
      <c r="R67" s="937"/>
      <c r="S67" s="937"/>
      <c r="T67" s="938"/>
      <c r="U67" s="939" t="str">
        <f t="shared" si="2"/>
        <v/>
      </c>
      <c r="V67" s="939" t="str">
        <f t="shared" si="2"/>
        <v/>
      </c>
      <c r="W67" s="939" t="str">
        <f t="shared" si="3"/>
        <v/>
      </c>
      <c r="X67" s="938" t="str">
        <f t="shared" si="4"/>
        <v/>
      </c>
      <c r="Y67" s="938" t="str">
        <f t="shared" si="1"/>
        <v/>
      </c>
      <c r="Z67" s="939" t="str">
        <f t="shared" si="5"/>
        <v/>
      </c>
      <c r="AA67" s="939" t="str">
        <f t="shared" si="6"/>
        <v/>
      </c>
    </row>
    <row r="68" spans="1:27">
      <c r="A68" s="3"/>
      <c r="B68" s="3"/>
      <c r="C68" s="330"/>
      <c r="D68" s="331"/>
      <c r="E68" s="331"/>
      <c r="F68" s="331"/>
      <c r="G68" s="331"/>
      <c r="H68" s="331"/>
      <c r="I68" s="331"/>
      <c r="J68" s="331"/>
      <c r="K68" s="331"/>
      <c r="L68" s="331"/>
      <c r="M68" s="323"/>
      <c r="N68" s="3"/>
      <c r="O68" s="934">
        <v>9</v>
      </c>
      <c r="P68" s="940"/>
      <c r="Q68" s="941"/>
      <c r="R68" s="937"/>
      <c r="S68" s="937"/>
      <c r="T68" s="938"/>
      <c r="U68" s="939" t="str">
        <f t="shared" si="2"/>
        <v/>
      </c>
      <c r="V68" s="939" t="str">
        <f t="shared" si="2"/>
        <v/>
      </c>
      <c r="W68" s="939" t="str">
        <f t="shared" si="3"/>
        <v/>
      </c>
      <c r="X68" s="938" t="str">
        <f t="shared" si="4"/>
        <v/>
      </c>
      <c r="Y68" s="938" t="str">
        <f t="shared" si="1"/>
        <v/>
      </c>
      <c r="Z68" s="939" t="str">
        <f t="shared" si="5"/>
        <v/>
      </c>
      <c r="AA68" s="939" t="str">
        <f t="shared" si="6"/>
        <v/>
      </c>
    </row>
    <row r="69" spans="1:27" ht="13">
      <c r="A69" s="3"/>
      <c r="B69" s="3"/>
      <c r="C69" s="330"/>
      <c r="D69" s="331"/>
      <c r="E69" s="331"/>
      <c r="F69" s="331"/>
      <c r="G69" s="331"/>
      <c r="H69" s="331"/>
      <c r="I69" s="331"/>
      <c r="J69" s="331"/>
      <c r="K69" s="331"/>
      <c r="L69" s="354"/>
      <c r="M69" s="323"/>
      <c r="N69" s="3"/>
      <c r="O69" s="934">
        <v>10</v>
      </c>
      <c r="P69" s="940"/>
      <c r="Q69" s="941"/>
      <c r="R69" s="937"/>
      <c r="S69" s="937"/>
      <c r="T69" s="938"/>
      <c r="U69" s="939" t="str">
        <f t="shared" si="2"/>
        <v/>
      </c>
      <c r="V69" s="939" t="str">
        <f t="shared" si="2"/>
        <v/>
      </c>
      <c r="W69" s="939" t="str">
        <f t="shared" si="3"/>
        <v/>
      </c>
      <c r="X69" s="938" t="str">
        <f t="shared" si="4"/>
        <v/>
      </c>
      <c r="Y69" s="938" t="str">
        <f t="shared" si="1"/>
        <v/>
      </c>
      <c r="Z69" s="939" t="str">
        <f t="shared" si="5"/>
        <v/>
      </c>
      <c r="AA69" s="939" t="str">
        <f t="shared" si="6"/>
        <v/>
      </c>
    </row>
    <row r="70" spans="1:27" ht="13">
      <c r="A70" s="3"/>
      <c r="B70" s="3"/>
      <c r="C70" s="330"/>
      <c r="D70" s="331" t="s">
        <v>226</v>
      </c>
      <c r="E70" s="331"/>
      <c r="F70" s="331"/>
      <c r="G70" s="331"/>
      <c r="H70" s="331"/>
      <c r="I70" s="331" t="s">
        <v>227</v>
      </c>
      <c r="J70" s="374">
        <f>J59*J57+J61*(1-J57)+J63+(J67/J65)</f>
        <v>214.63750846737568</v>
      </c>
      <c r="K70" s="331" t="s">
        <v>785</v>
      </c>
      <c r="L70" s="331"/>
      <c r="M70" s="323"/>
      <c r="N70" s="3"/>
      <c r="O70" s="934">
        <v>11</v>
      </c>
      <c r="P70" s="940"/>
      <c r="Q70" s="941"/>
      <c r="R70" s="937"/>
      <c r="S70" s="937"/>
      <c r="T70" s="938"/>
      <c r="U70" s="939" t="str">
        <f t="shared" si="2"/>
        <v/>
      </c>
      <c r="V70" s="939" t="str">
        <f t="shared" si="2"/>
        <v/>
      </c>
      <c r="W70" s="939" t="str">
        <f t="shared" si="3"/>
        <v/>
      </c>
      <c r="X70" s="938" t="str">
        <f t="shared" si="4"/>
        <v/>
      </c>
      <c r="Y70" s="938" t="str">
        <f t="shared" si="1"/>
        <v/>
      </c>
      <c r="Z70" s="939" t="str">
        <f t="shared" si="5"/>
        <v/>
      </c>
      <c r="AA70" s="939" t="str">
        <f t="shared" si="6"/>
        <v/>
      </c>
    </row>
    <row r="71" spans="1:27" ht="13" thickBot="1">
      <c r="A71" s="3"/>
      <c r="B71" s="3"/>
      <c r="C71" s="330"/>
      <c r="D71" s="331"/>
      <c r="E71" s="331"/>
      <c r="F71" s="331"/>
      <c r="G71" s="331"/>
      <c r="H71" s="331"/>
      <c r="I71" s="331"/>
      <c r="J71" s="331"/>
      <c r="K71" s="331"/>
      <c r="L71" s="331"/>
      <c r="M71" s="323"/>
      <c r="N71" s="3"/>
      <c r="O71" s="942">
        <v>12</v>
      </c>
      <c r="P71" s="943"/>
      <c r="Q71" s="944"/>
      <c r="R71" s="945"/>
      <c r="S71" s="945"/>
      <c r="T71" s="946"/>
      <c r="U71" s="947" t="str">
        <f t="shared" si="2"/>
        <v/>
      </c>
      <c r="V71" s="947" t="str">
        <f t="shared" si="2"/>
        <v/>
      </c>
      <c r="W71" s="947" t="str">
        <f t="shared" si="3"/>
        <v/>
      </c>
      <c r="X71" s="946" t="str">
        <f t="shared" si="4"/>
        <v/>
      </c>
      <c r="Y71" s="946" t="str">
        <f t="shared" si="1"/>
        <v/>
      </c>
      <c r="Z71" s="947" t="str">
        <f t="shared" si="5"/>
        <v/>
      </c>
      <c r="AA71" s="947" t="str">
        <f t="shared" si="6"/>
        <v/>
      </c>
    </row>
    <row r="72" spans="1:27">
      <c r="A72" s="3"/>
      <c r="B72" s="3"/>
      <c r="C72" s="330"/>
      <c r="D72" s="331"/>
      <c r="E72" s="331"/>
      <c r="F72" s="331"/>
      <c r="G72" s="331"/>
      <c r="H72" s="331"/>
      <c r="I72" s="331"/>
      <c r="J72" s="331"/>
      <c r="K72" s="331"/>
      <c r="L72" s="331"/>
      <c r="M72" s="323"/>
      <c r="N72" s="3"/>
      <c r="O72" s="948"/>
      <c r="P72" s="949"/>
      <c r="Q72" s="929"/>
      <c r="R72" s="950"/>
      <c r="S72" s="950"/>
      <c r="T72" s="950"/>
      <c r="U72" s="950"/>
      <c r="V72" s="950"/>
      <c r="W72" s="950"/>
      <c r="X72" s="950"/>
      <c r="Y72" s="950"/>
      <c r="Z72" s="950"/>
      <c r="AA72" s="951"/>
    </row>
    <row r="73" spans="1:27" ht="14.5">
      <c r="A73" s="3"/>
      <c r="B73" s="3"/>
      <c r="C73" s="338"/>
      <c r="D73" s="339"/>
      <c r="E73" s="339"/>
      <c r="F73" s="339"/>
      <c r="G73" s="339"/>
      <c r="H73" s="339"/>
      <c r="I73" s="339"/>
      <c r="J73" s="339"/>
      <c r="K73" s="339"/>
      <c r="L73" s="339"/>
      <c r="M73" s="340"/>
      <c r="N73" s="3"/>
      <c r="O73" s="952"/>
      <c r="P73" s="953"/>
      <c r="Q73" s="954"/>
      <c r="R73" s="955"/>
      <c r="S73" s="955"/>
      <c r="T73" s="955"/>
      <c r="U73" s="955"/>
      <c r="V73" s="955"/>
      <c r="W73" s="955"/>
      <c r="X73" s="956" t="s">
        <v>971</v>
      </c>
      <c r="Y73" s="957">
        <f>SUM(Y62:Y71)</f>
        <v>1498.1255053982986</v>
      </c>
      <c r="Z73" s="958"/>
      <c r="AA73" s="959"/>
    </row>
    <row r="74" spans="1:27">
      <c r="A74" s="3"/>
      <c r="B74" s="3"/>
      <c r="C74" s="3"/>
      <c r="D74" s="3"/>
      <c r="E74" s="3"/>
      <c r="F74" s="3"/>
      <c r="G74" s="3"/>
      <c r="H74" s="3"/>
      <c r="I74" s="3"/>
      <c r="J74" s="3"/>
      <c r="K74" s="3"/>
      <c r="L74" s="3"/>
      <c r="M74" s="3"/>
      <c r="N74" s="3"/>
      <c r="O74" s="3"/>
      <c r="P74" s="3"/>
      <c r="Q74" s="3"/>
      <c r="R74" s="3"/>
      <c r="S74" s="3"/>
      <c r="T74" s="3"/>
      <c r="U74" s="3"/>
      <c r="V74" s="3"/>
      <c r="W74" s="3"/>
      <c r="X74" s="3"/>
      <c r="Y74" s="3"/>
      <c r="Z74" s="3"/>
      <c r="AA74" s="3"/>
    </row>
    <row r="75" spans="1:27">
      <c r="A75" s="3"/>
      <c r="B75" s="3"/>
      <c r="C75" s="3"/>
      <c r="D75" s="3"/>
      <c r="E75" s="3"/>
      <c r="F75" s="3"/>
      <c r="G75" s="3"/>
      <c r="H75" s="3"/>
      <c r="I75" s="3"/>
      <c r="J75" s="3"/>
      <c r="K75" s="3"/>
      <c r="L75" s="3"/>
      <c r="M75" s="3"/>
      <c r="N75" s="3"/>
      <c r="O75" s="3"/>
      <c r="P75" s="3"/>
      <c r="Q75" s="3"/>
      <c r="R75" s="3"/>
      <c r="S75" s="3"/>
      <c r="T75" s="3"/>
      <c r="U75" s="3"/>
      <c r="V75" s="3"/>
      <c r="W75" s="3"/>
      <c r="X75" s="3"/>
      <c r="Y75" s="3"/>
      <c r="Z75" s="3"/>
      <c r="AA75" s="3"/>
    </row>
    <row r="76" spans="1:27">
      <c r="A76" s="3"/>
      <c r="B76" s="3"/>
      <c r="C76" s="3"/>
      <c r="D76" s="3"/>
      <c r="E76" s="3"/>
      <c r="F76" s="3"/>
      <c r="G76" s="3"/>
      <c r="H76" s="3"/>
      <c r="I76" s="3"/>
      <c r="J76" s="3"/>
      <c r="K76" s="3"/>
      <c r="L76" s="3" t="s">
        <v>715</v>
      </c>
      <c r="M76" s="3"/>
      <c r="N76" s="3"/>
      <c r="O76" s="3"/>
      <c r="P76" s="3"/>
      <c r="Q76" s="3"/>
      <c r="R76" s="3"/>
      <c r="S76" s="3"/>
      <c r="T76" s="3"/>
      <c r="U76" s="3"/>
      <c r="V76" s="3"/>
      <c r="W76" s="3"/>
      <c r="X76" s="3"/>
      <c r="Y76" s="3"/>
      <c r="Z76" s="3"/>
      <c r="AA76" s="3"/>
    </row>
    <row r="77" spans="1:27" ht="15.5">
      <c r="A77" s="3"/>
      <c r="B77" s="272" t="s">
        <v>231</v>
      </c>
      <c r="C77" s="189"/>
      <c r="D77" s="189"/>
      <c r="E77" s="189"/>
      <c r="F77" s="189"/>
      <c r="G77" s="190"/>
      <c r="H77" s="3"/>
      <c r="I77" s="3"/>
      <c r="J77" s="3"/>
      <c r="K77" s="3"/>
      <c r="L77" s="3"/>
      <c r="M77" s="3"/>
      <c r="N77" s="3"/>
      <c r="O77" s="3"/>
      <c r="P77" s="3"/>
      <c r="Q77" s="3"/>
      <c r="R77" s="3"/>
      <c r="S77" s="3"/>
      <c r="T77" s="3"/>
      <c r="U77" s="3"/>
      <c r="V77" s="3"/>
      <c r="W77" s="3"/>
      <c r="X77" s="3"/>
      <c r="Y77" s="3"/>
      <c r="Z77" s="3"/>
      <c r="AA77" s="3"/>
    </row>
    <row r="78" spans="1:27">
      <c r="A78" s="3"/>
      <c r="B78" s="3"/>
      <c r="C78" s="101"/>
      <c r="D78" s="101"/>
      <c r="E78" s="101"/>
      <c r="F78" s="101"/>
      <c r="G78" s="101"/>
      <c r="H78" s="101"/>
      <c r="I78" s="101"/>
      <c r="J78" s="101"/>
      <c r="K78" s="101"/>
      <c r="L78" s="3"/>
      <c r="M78" s="3"/>
      <c r="N78" s="3"/>
      <c r="O78" s="3"/>
      <c r="P78" s="3"/>
      <c r="Q78" s="3"/>
      <c r="R78" s="3"/>
      <c r="S78" s="3"/>
      <c r="T78" s="3"/>
      <c r="U78" s="3"/>
      <c r="V78" s="3"/>
      <c r="W78" s="3"/>
      <c r="X78" s="3"/>
      <c r="Y78" s="3"/>
      <c r="Z78" s="3"/>
      <c r="AA78" s="3"/>
    </row>
    <row r="79" spans="1:27" ht="13">
      <c r="A79" s="3"/>
      <c r="B79" s="3"/>
      <c r="C79" s="359" t="s">
        <v>159</v>
      </c>
      <c r="D79" s="180"/>
      <c r="E79" s="180"/>
      <c r="F79" s="180"/>
      <c r="G79" s="180"/>
      <c r="H79" s="180"/>
      <c r="I79" s="180"/>
      <c r="J79" s="180"/>
      <c r="K79" s="180"/>
      <c r="L79" s="180"/>
      <c r="M79" s="917"/>
      <c r="N79" s="3"/>
      <c r="O79" s="3"/>
      <c r="P79" s="3"/>
      <c r="Q79" s="3"/>
      <c r="R79" s="3"/>
      <c r="S79" s="3"/>
      <c r="T79" s="3"/>
      <c r="U79" s="3"/>
      <c r="V79" s="3"/>
      <c r="W79" s="3"/>
      <c r="X79" s="3"/>
      <c r="Y79" s="3"/>
      <c r="Z79" s="3"/>
      <c r="AA79" s="3"/>
    </row>
    <row r="80" spans="1:27">
      <c r="A80" s="3"/>
      <c r="B80" s="3"/>
      <c r="C80" s="177"/>
      <c r="D80" s="141"/>
      <c r="E80" s="141"/>
      <c r="F80" s="141"/>
      <c r="G80" s="141"/>
      <c r="H80" s="141"/>
      <c r="I80" s="141"/>
      <c r="J80" s="141"/>
      <c r="K80" s="141"/>
      <c r="L80" s="141"/>
      <c r="M80" s="182"/>
      <c r="N80" s="3"/>
      <c r="O80" s="3"/>
      <c r="P80" s="3"/>
      <c r="Q80" s="3"/>
      <c r="R80" s="3"/>
      <c r="S80" s="3"/>
      <c r="T80" s="3"/>
      <c r="U80" s="3"/>
      <c r="V80" s="3"/>
      <c r="W80" s="3"/>
      <c r="X80" s="3"/>
      <c r="Y80" s="3"/>
      <c r="Z80" s="3"/>
      <c r="AA80" s="3"/>
    </row>
    <row r="81" spans="1:27">
      <c r="A81" s="3"/>
      <c r="B81" s="3"/>
      <c r="C81" s="177"/>
      <c r="D81" s="141"/>
      <c r="E81" s="141"/>
      <c r="F81" s="141"/>
      <c r="G81" s="141"/>
      <c r="H81" s="141"/>
      <c r="I81" s="141"/>
      <c r="J81" s="141"/>
      <c r="K81" s="141"/>
      <c r="L81" s="141"/>
      <c r="M81" s="182"/>
      <c r="N81" s="3"/>
      <c r="O81" s="3"/>
      <c r="P81" s="3"/>
      <c r="Q81" s="3"/>
      <c r="R81" s="3"/>
      <c r="S81" s="3"/>
      <c r="T81" s="3"/>
      <c r="U81" s="3"/>
      <c r="V81" s="3"/>
      <c r="W81" s="3"/>
      <c r="X81" s="3"/>
      <c r="Y81" s="3"/>
      <c r="Z81" s="3"/>
      <c r="AA81" s="3"/>
    </row>
    <row r="82" spans="1:27">
      <c r="A82" s="3"/>
      <c r="B82" s="3"/>
      <c r="C82" s="177"/>
      <c r="D82" s="141"/>
      <c r="E82" s="141"/>
      <c r="F82" s="141"/>
      <c r="G82" s="141"/>
      <c r="H82" s="141"/>
      <c r="I82" s="141"/>
      <c r="J82" s="141"/>
      <c r="K82" s="141"/>
      <c r="L82" s="141"/>
      <c r="M82" s="182"/>
      <c r="N82" s="3"/>
      <c r="O82" s="3"/>
      <c r="P82" s="3"/>
      <c r="Q82" s="3"/>
      <c r="R82" s="3"/>
      <c r="S82" s="3"/>
      <c r="T82" s="3"/>
      <c r="U82" s="3"/>
      <c r="V82" s="3"/>
      <c r="W82" s="3"/>
      <c r="X82" s="3"/>
      <c r="Y82" s="3"/>
      <c r="Z82" s="3"/>
      <c r="AA82" s="3"/>
    </row>
    <row r="83" spans="1:27">
      <c r="A83" s="3"/>
      <c r="B83" s="3"/>
      <c r="C83" s="177"/>
      <c r="D83" s="141"/>
      <c r="E83" s="141"/>
      <c r="F83" s="141"/>
      <c r="G83" s="141"/>
      <c r="H83" s="141"/>
      <c r="I83" s="141"/>
      <c r="J83" s="141"/>
      <c r="K83" s="141"/>
      <c r="L83" s="141"/>
      <c r="M83" s="182"/>
      <c r="N83" s="3"/>
      <c r="O83" s="3"/>
      <c r="P83" s="3"/>
      <c r="Q83" s="3"/>
      <c r="R83" s="3"/>
      <c r="S83" s="3"/>
      <c r="T83" s="3"/>
      <c r="U83" s="3"/>
      <c r="V83" s="3"/>
      <c r="W83" s="3"/>
      <c r="X83" s="3"/>
      <c r="Y83" s="3"/>
      <c r="Z83" s="3"/>
      <c r="AA83" s="3"/>
    </row>
    <row r="84" spans="1:27">
      <c r="A84" s="3"/>
      <c r="B84" s="3"/>
      <c r="C84" s="177"/>
      <c r="D84" s="141"/>
      <c r="E84" s="141"/>
      <c r="F84" s="141"/>
      <c r="G84" s="141"/>
      <c r="H84" s="141"/>
      <c r="I84" s="141"/>
      <c r="J84" s="141"/>
      <c r="K84" s="141"/>
      <c r="L84" s="141"/>
      <c r="M84" s="182"/>
      <c r="N84" s="3"/>
      <c r="O84" s="3"/>
      <c r="P84" s="3"/>
      <c r="Q84" s="3"/>
      <c r="R84" s="3"/>
      <c r="S84" s="3"/>
      <c r="T84" s="3"/>
      <c r="U84" s="3"/>
      <c r="V84" s="3"/>
      <c r="W84" s="3"/>
      <c r="X84" s="3"/>
      <c r="Y84" s="3"/>
      <c r="Z84" s="3"/>
      <c r="AA84" s="3"/>
    </row>
    <row r="85" spans="1:27">
      <c r="A85" s="3"/>
      <c r="B85" s="3"/>
      <c r="C85" s="177"/>
      <c r="D85" s="192"/>
      <c r="E85" s="141"/>
      <c r="F85" s="192"/>
      <c r="G85" s="141"/>
      <c r="H85" s="192"/>
      <c r="I85" s="141"/>
      <c r="J85" s="141"/>
      <c r="K85" s="141"/>
      <c r="L85" s="141"/>
      <c r="M85" s="182"/>
      <c r="N85" s="3"/>
      <c r="O85" s="3"/>
      <c r="P85" s="3"/>
      <c r="Q85" s="3"/>
      <c r="R85" s="3"/>
      <c r="S85" s="3"/>
      <c r="T85" s="3"/>
      <c r="U85" s="3"/>
      <c r="V85" s="3"/>
      <c r="W85" s="3"/>
      <c r="X85" s="3"/>
      <c r="Y85" s="3"/>
      <c r="Z85" s="3"/>
      <c r="AA85" s="3"/>
    </row>
    <row r="86" spans="1:27">
      <c r="A86" s="3"/>
      <c r="B86" s="3"/>
      <c r="C86" s="177"/>
      <c r="D86" s="141"/>
      <c r="E86" s="141"/>
      <c r="F86" s="141"/>
      <c r="G86" s="141"/>
      <c r="H86" s="141"/>
      <c r="I86" s="141"/>
      <c r="J86" s="141"/>
      <c r="K86" s="141"/>
      <c r="L86" s="141"/>
      <c r="M86" s="182"/>
      <c r="N86" s="3"/>
      <c r="O86" s="3"/>
      <c r="P86" s="3"/>
      <c r="Q86" s="3"/>
      <c r="R86" s="3"/>
      <c r="S86" s="3"/>
      <c r="T86" s="3"/>
      <c r="U86" s="3"/>
      <c r="V86" s="3"/>
      <c r="W86" s="3"/>
      <c r="X86" s="3"/>
      <c r="Y86" s="3"/>
      <c r="Z86" s="3"/>
      <c r="AA86" s="3"/>
    </row>
    <row r="87" spans="1:27">
      <c r="A87" s="3"/>
      <c r="B87" s="3"/>
      <c r="C87" s="177"/>
      <c r="D87" s="192"/>
      <c r="E87" s="141"/>
      <c r="F87" s="192"/>
      <c r="G87" s="141"/>
      <c r="H87" s="141"/>
      <c r="I87" s="141"/>
      <c r="J87" s="141"/>
      <c r="K87" s="141"/>
      <c r="L87" s="141"/>
      <c r="M87" s="182"/>
      <c r="N87" s="3"/>
      <c r="O87" s="3"/>
      <c r="P87" s="3"/>
      <c r="Q87" s="3"/>
      <c r="R87" s="3"/>
      <c r="S87" s="3"/>
      <c r="T87" s="3"/>
      <c r="U87" s="3"/>
      <c r="V87" s="3"/>
      <c r="W87" s="3"/>
      <c r="X87" s="3"/>
      <c r="Y87" s="3"/>
      <c r="Z87" s="3"/>
      <c r="AA87" s="3"/>
    </row>
    <row r="88" spans="1:27">
      <c r="A88" s="3"/>
      <c r="B88" s="3"/>
      <c r="C88" s="177"/>
      <c r="D88" s="141"/>
      <c r="E88" s="141"/>
      <c r="F88" s="141"/>
      <c r="G88" s="141"/>
      <c r="H88" s="141"/>
      <c r="I88" s="141"/>
      <c r="J88" s="141"/>
      <c r="K88" s="141"/>
      <c r="L88" s="141"/>
      <c r="M88" s="182"/>
      <c r="N88" s="3"/>
      <c r="O88" s="3"/>
      <c r="P88" s="3"/>
      <c r="Q88" s="3"/>
      <c r="R88" s="3"/>
      <c r="S88" s="3"/>
      <c r="T88" s="3"/>
      <c r="U88" s="3"/>
      <c r="V88" s="3"/>
      <c r="W88" s="3"/>
      <c r="X88" s="3"/>
      <c r="Y88" s="3"/>
      <c r="Z88" s="3"/>
      <c r="AA88" s="3"/>
    </row>
    <row r="89" spans="1:27">
      <c r="A89" s="3"/>
      <c r="B89" s="3"/>
      <c r="C89" s="177"/>
      <c r="D89" s="141"/>
      <c r="E89" s="141"/>
      <c r="F89" s="141"/>
      <c r="G89" s="141"/>
      <c r="H89" s="141"/>
      <c r="I89" s="141"/>
      <c r="J89" s="141"/>
      <c r="K89" s="141"/>
      <c r="L89" s="141"/>
      <c r="M89" s="182"/>
      <c r="N89" s="3"/>
      <c r="O89" s="3"/>
      <c r="P89" s="3"/>
      <c r="Q89" s="3"/>
      <c r="R89" s="3"/>
      <c r="S89" s="3"/>
      <c r="T89" s="3"/>
      <c r="U89" s="3"/>
      <c r="V89" s="3"/>
      <c r="W89" s="3"/>
      <c r="X89" s="3"/>
      <c r="Y89" s="3"/>
      <c r="Z89" s="3"/>
      <c r="AA89" s="3"/>
    </row>
    <row r="90" spans="1:27">
      <c r="A90" s="3"/>
      <c r="B90" s="3"/>
      <c r="C90" s="177"/>
      <c r="D90" s="141"/>
      <c r="E90" s="141"/>
      <c r="F90" s="141"/>
      <c r="G90" s="141"/>
      <c r="H90" s="141"/>
      <c r="I90" s="141"/>
      <c r="J90" s="141"/>
      <c r="K90" s="141"/>
      <c r="L90" s="141"/>
      <c r="M90" s="182"/>
      <c r="N90" s="3"/>
      <c r="O90" s="3"/>
      <c r="P90" s="3"/>
      <c r="Q90" s="3"/>
      <c r="R90" s="3"/>
      <c r="S90" s="3"/>
      <c r="T90" s="3"/>
      <c r="U90" s="3"/>
      <c r="V90" s="3"/>
      <c r="W90" s="3"/>
      <c r="X90" s="3"/>
      <c r="Y90" s="3"/>
      <c r="Z90" s="3"/>
      <c r="AA90" s="3"/>
    </row>
    <row r="91" spans="1:27">
      <c r="A91" s="3"/>
      <c r="B91" s="3"/>
      <c r="C91" s="177"/>
      <c r="D91" s="141" t="s">
        <v>995</v>
      </c>
      <c r="E91" s="141"/>
      <c r="F91" s="141"/>
      <c r="G91" s="141"/>
      <c r="H91" s="141"/>
      <c r="I91" s="141"/>
      <c r="J91" s="141"/>
      <c r="K91" s="141"/>
      <c r="L91" s="141"/>
      <c r="M91" s="182"/>
      <c r="N91" s="3"/>
      <c r="O91" s="3"/>
      <c r="P91" s="3"/>
      <c r="Q91" s="3"/>
      <c r="R91" s="3"/>
      <c r="S91" s="3"/>
      <c r="T91" s="3"/>
      <c r="U91" s="3"/>
      <c r="V91" s="3"/>
      <c r="W91" s="3"/>
      <c r="X91" s="3"/>
      <c r="Y91" s="3"/>
      <c r="Z91" s="3"/>
      <c r="AA91" s="3"/>
    </row>
    <row r="92" spans="1:27">
      <c r="A92" s="3"/>
      <c r="B92" s="3"/>
      <c r="C92" s="177"/>
      <c r="D92" s="141"/>
      <c r="E92" s="141"/>
      <c r="F92" s="141"/>
      <c r="G92" s="141"/>
      <c r="H92" s="141"/>
      <c r="I92" s="141"/>
      <c r="J92" s="141"/>
      <c r="K92" s="141"/>
      <c r="L92" s="141"/>
      <c r="M92" s="182"/>
      <c r="N92" s="3"/>
      <c r="O92" s="3"/>
      <c r="P92" s="3"/>
      <c r="Q92" s="3"/>
      <c r="R92" s="3"/>
      <c r="S92" s="3"/>
      <c r="T92" s="3"/>
      <c r="U92" s="3"/>
      <c r="V92" s="3"/>
      <c r="W92" s="3"/>
      <c r="X92" s="3"/>
      <c r="Y92" s="3"/>
      <c r="Z92" s="3"/>
      <c r="AA92" s="3"/>
    </row>
    <row r="93" spans="1:27" ht="13">
      <c r="A93" s="3"/>
      <c r="B93" s="3"/>
      <c r="C93" s="177"/>
      <c r="D93" s="960" t="s">
        <v>664</v>
      </c>
      <c r="E93" s="141"/>
      <c r="F93" s="141"/>
      <c r="G93" s="141"/>
      <c r="H93" s="141"/>
      <c r="I93" s="141"/>
      <c r="J93" s="141"/>
      <c r="K93" s="141"/>
      <c r="L93" s="141"/>
      <c r="M93" s="182"/>
      <c r="N93" s="3"/>
      <c r="O93" s="3"/>
      <c r="P93" s="3"/>
      <c r="Q93" s="3"/>
      <c r="R93" s="3"/>
      <c r="S93" s="3"/>
      <c r="T93" s="3"/>
      <c r="U93" s="3"/>
      <c r="V93" s="3"/>
      <c r="W93" s="3"/>
      <c r="X93" s="3"/>
      <c r="Y93" s="3"/>
      <c r="Z93" s="3"/>
      <c r="AA93" s="3"/>
    </row>
    <row r="94" spans="1:27">
      <c r="A94" s="3"/>
      <c r="B94" s="3"/>
      <c r="C94" s="177"/>
      <c r="D94" s="141" t="s">
        <v>192</v>
      </c>
      <c r="E94" s="141"/>
      <c r="F94" s="141"/>
      <c r="G94" s="360"/>
      <c r="H94" s="141"/>
      <c r="I94" s="141"/>
      <c r="J94" s="141"/>
      <c r="K94" s="141"/>
      <c r="L94" s="141"/>
      <c r="M94" s="182"/>
      <c r="N94" s="3"/>
      <c r="O94" s="3"/>
      <c r="P94" s="3"/>
      <c r="Q94" s="3"/>
      <c r="R94" s="3"/>
      <c r="S94" s="3"/>
      <c r="T94" s="3"/>
      <c r="U94" s="3"/>
      <c r="V94" s="3"/>
      <c r="W94" s="3"/>
      <c r="X94" s="3"/>
      <c r="Y94" s="3"/>
      <c r="Z94" s="3"/>
      <c r="AA94" s="3"/>
    </row>
    <row r="95" spans="1:27">
      <c r="A95" s="3"/>
      <c r="B95" s="3"/>
      <c r="C95" s="177"/>
      <c r="D95" s="361" t="s">
        <v>1012</v>
      </c>
      <c r="E95" s="141"/>
      <c r="F95" s="141"/>
      <c r="G95" s="141"/>
      <c r="H95" s="141"/>
      <c r="I95" s="141"/>
      <c r="J95" s="141"/>
      <c r="K95" s="141"/>
      <c r="L95" s="141"/>
      <c r="M95" s="182"/>
      <c r="N95" s="3"/>
      <c r="O95" s="3"/>
      <c r="P95" s="3"/>
      <c r="Q95" s="3"/>
      <c r="R95" s="3"/>
      <c r="S95" s="3"/>
      <c r="T95" s="3"/>
      <c r="U95" s="3"/>
      <c r="V95" s="3"/>
      <c r="W95" s="3"/>
      <c r="X95" s="3"/>
      <c r="Y95" s="3"/>
      <c r="Z95" s="3"/>
      <c r="AA95" s="3"/>
    </row>
    <row r="96" spans="1:27">
      <c r="A96" s="3"/>
      <c r="B96" s="3"/>
      <c r="C96" s="177"/>
      <c r="D96" s="141" t="s">
        <v>998</v>
      </c>
      <c r="E96" s="141"/>
      <c r="F96" s="141"/>
      <c r="G96" s="141"/>
      <c r="H96" s="141"/>
      <c r="I96" s="141"/>
      <c r="J96" s="141"/>
      <c r="K96" s="141"/>
      <c r="L96" s="141"/>
      <c r="M96" s="182"/>
      <c r="N96" s="3"/>
      <c r="O96" s="3"/>
      <c r="P96" s="3"/>
      <c r="Q96" s="3"/>
      <c r="R96" s="3"/>
      <c r="S96" s="3"/>
      <c r="T96" s="3"/>
      <c r="U96" s="3"/>
      <c r="V96" s="3"/>
      <c r="W96" s="3"/>
      <c r="X96" s="3"/>
      <c r="Y96" s="3"/>
      <c r="Z96" s="3"/>
      <c r="AA96" s="3"/>
    </row>
    <row r="97" spans="1:27">
      <c r="A97" s="3"/>
      <c r="B97" s="3"/>
      <c r="C97" s="177"/>
      <c r="D97" s="361" t="s">
        <v>999</v>
      </c>
      <c r="E97" s="141"/>
      <c r="F97" s="141"/>
      <c r="G97" s="141"/>
      <c r="H97" s="141"/>
      <c r="I97" s="141"/>
      <c r="J97" s="141"/>
      <c r="K97" s="141"/>
      <c r="L97" s="141"/>
      <c r="M97" s="182"/>
      <c r="N97" s="3"/>
      <c r="O97" s="3"/>
      <c r="P97" s="3"/>
      <c r="Q97" s="3"/>
      <c r="R97" s="3"/>
      <c r="S97" s="3"/>
      <c r="T97" s="3"/>
      <c r="U97" s="3"/>
      <c r="V97" s="3"/>
      <c r="W97" s="3"/>
      <c r="X97" s="3"/>
      <c r="Y97" s="3"/>
      <c r="Z97" s="3"/>
      <c r="AA97" s="3"/>
    </row>
    <row r="98" spans="1:27">
      <c r="A98" s="3"/>
      <c r="B98" s="3"/>
      <c r="C98" s="177"/>
      <c r="D98" s="361" t="s">
        <v>1000</v>
      </c>
      <c r="E98" s="141"/>
      <c r="F98" s="141"/>
      <c r="G98" s="141"/>
      <c r="H98" s="141"/>
      <c r="I98" s="141"/>
      <c r="J98" s="141"/>
      <c r="K98" s="141"/>
      <c r="L98" s="141"/>
      <c r="M98" s="182"/>
      <c r="N98" s="3"/>
      <c r="O98" s="3"/>
      <c r="P98" s="3"/>
      <c r="Q98" s="3"/>
      <c r="R98" s="3"/>
      <c r="S98" s="3"/>
      <c r="T98" s="3"/>
      <c r="U98" s="3"/>
      <c r="V98" s="3"/>
      <c r="W98" s="3"/>
      <c r="X98" s="3"/>
      <c r="Y98" s="3"/>
      <c r="Z98" s="3"/>
      <c r="AA98" s="3"/>
    </row>
    <row r="99" spans="1:27">
      <c r="A99" s="3"/>
      <c r="B99" s="3"/>
      <c r="C99" s="177"/>
      <c r="D99" s="361" t="s">
        <v>1001</v>
      </c>
      <c r="E99" s="141"/>
      <c r="F99" s="141"/>
      <c r="G99" s="141"/>
      <c r="H99" s="141"/>
      <c r="I99" s="241" t="s">
        <v>140</v>
      </c>
      <c r="J99" s="141" t="s">
        <v>715</v>
      </c>
      <c r="K99" s="141"/>
      <c r="L99" s="141"/>
      <c r="M99" s="182"/>
      <c r="N99" s="3"/>
      <c r="O99" s="3"/>
      <c r="P99" s="3"/>
      <c r="Q99" s="3"/>
      <c r="R99" s="3"/>
      <c r="S99" s="3"/>
      <c r="T99" s="3"/>
      <c r="U99" s="3"/>
      <c r="V99" s="3"/>
      <c r="W99" s="3"/>
      <c r="X99" s="3"/>
      <c r="Y99" s="3"/>
      <c r="Z99" s="3"/>
      <c r="AA99" s="3"/>
    </row>
    <row r="100" spans="1:27">
      <c r="A100" s="3"/>
      <c r="B100" s="3"/>
      <c r="C100" s="177"/>
      <c r="D100" s="362" t="s">
        <v>1013</v>
      </c>
      <c r="E100" s="141"/>
      <c r="F100" s="141"/>
      <c r="G100" s="141"/>
      <c r="H100" s="141"/>
      <c r="I100" s="141"/>
      <c r="J100" s="141"/>
      <c r="K100" s="141"/>
      <c r="L100" s="141"/>
      <c r="M100" s="182"/>
      <c r="N100" s="3"/>
      <c r="O100" s="3"/>
      <c r="P100" s="3"/>
      <c r="Q100" s="3"/>
      <c r="R100" s="3"/>
      <c r="S100" s="3"/>
      <c r="T100" s="3"/>
      <c r="U100" s="3"/>
      <c r="V100" s="3"/>
      <c r="W100" s="3"/>
      <c r="X100" s="3"/>
      <c r="Y100" s="3"/>
      <c r="Z100" s="3"/>
      <c r="AA100" s="3"/>
    </row>
    <row r="101" spans="1:27">
      <c r="A101" s="3"/>
      <c r="B101" s="3"/>
      <c r="C101" s="177"/>
      <c r="D101" s="141" t="s">
        <v>192</v>
      </c>
      <c r="E101" s="141"/>
      <c r="F101" s="141"/>
      <c r="G101" s="141"/>
      <c r="H101" s="141"/>
      <c r="I101" s="141"/>
      <c r="J101" s="141"/>
      <c r="K101" s="141"/>
      <c r="L101" s="141"/>
      <c r="M101" s="182"/>
      <c r="N101" s="3"/>
      <c r="O101" s="3"/>
      <c r="P101" s="3"/>
      <c r="Q101" s="3"/>
      <c r="R101" s="3"/>
      <c r="S101" s="3"/>
      <c r="T101" s="3"/>
      <c r="U101" s="3"/>
      <c r="V101" s="3"/>
      <c r="W101" s="3"/>
      <c r="X101" s="3"/>
      <c r="Y101" s="3"/>
      <c r="Z101" s="3"/>
      <c r="AA101" s="3"/>
    </row>
    <row r="102" spans="1:27">
      <c r="A102" s="3"/>
      <c r="B102" s="3"/>
      <c r="C102" s="177"/>
      <c r="D102" s="141"/>
      <c r="E102" s="141" t="s">
        <v>1003</v>
      </c>
      <c r="F102" s="141"/>
      <c r="G102" s="141"/>
      <c r="H102" s="141"/>
      <c r="I102" s="141"/>
      <c r="J102" s="141"/>
      <c r="K102" s="141"/>
      <c r="L102" s="141"/>
      <c r="M102" s="182"/>
      <c r="N102" s="3"/>
      <c r="O102" s="3"/>
      <c r="P102" s="3"/>
      <c r="Q102" s="3"/>
      <c r="R102" s="3"/>
      <c r="S102" s="3"/>
      <c r="T102" s="3"/>
      <c r="U102" s="3"/>
      <c r="V102" s="3"/>
      <c r="W102" s="3"/>
      <c r="X102" s="3"/>
      <c r="Y102" s="3"/>
      <c r="Z102" s="3"/>
      <c r="AA102" s="3"/>
    </row>
    <row r="103" spans="1:27">
      <c r="A103" s="3"/>
      <c r="B103" s="3"/>
      <c r="C103" s="177"/>
      <c r="D103" s="141"/>
      <c r="E103" s="141" t="s">
        <v>1004</v>
      </c>
      <c r="F103" s="141"/>
      <c r="G103" s="141"/>
      <c r="H103" s="141"/>
      <c r="I103" s="141"/>
      <c r="J103" s="141"/>
      <c r="K103" s="141"/>
      <c r="L103" s="141"/>
      <c r="M103" s="182"/>
      <c r="N103" s="3"/>
      <c r="O103" s="3"/>
      <c r="P103" s="3"/>
      <c r="Q103" s="3"/>
      <c r="R103" s="3"/>
      <c r="S103" s="3"/>
      <c r="T103" s="3"/>
      <c r="U103" s="3"/>
      <c r="V103" s="3"/>
      <c r="W103" s="3"/>
      <c r="X103" s="3"/>
      <c r="Y103" s="3"/>
      <c r="Z103" s="3"/>
      <c r="AA103" s="3"/>
    </row>
    <row r="104" spans="1:27">
      <c r="A104" s="3"/>
      <c r="B104" s="3"/>
      <c r="C104" s="177"/>
      <c r="D104" s="141"/>
      <c r="E104" s="861" t="s">
        <v>1005</v>
      </c>
      <c r="F104" s="141"/>
      <c r="G104" s="141"/>
      <c r="H104" s="141"/>
      <c r="I104" s="141"/>
      <c r="J104" s="141"/>
      <c r="K104" s="141"/>
      <c r="L104" s="141"/>
      <c r="M104" s="182"/>
      <c r="N104" s="3"/>
      <c r="O104" s="3"/>
      <c r="P104" s="3"/>
      <c r="Q104" s="3"/>
      <c r="R104" s="3"/>
      <c r="S104" s="3"/>
      <c r="T104" s="3"/>
      <c r="U104" s="3"/>
      <c r="V104" s="3"/>
      <c r="W104" s="3"/>
      <c r="X104" s="3"/>
      <c r="Y104" s="3"/>
      <c r="Z104" s="3"/>
      <c r="AA104" s="3"/>
    </row>
    <row r="105" spans="1:27">
      <c r="A105" s="3"/>
      <c r="B105" s="3"/>
      <c r="C105" s="177"/>
      <c r="D105" s="141"/>
      <c r="E105" s="141"/>
      <c r="F105" s="141"/>
      <c r="G105" s="141"/>
      <c r="H105" s="141"/>
      <c r="I105" s="141"/>
      <c r="J105" s="141"/>
      <c r="K105" s="141"/>
      <c r="L105" s="141"/>
      <c r="M105" s="182"/>
      <c r="N105" s="3"/>
      <c r="O105" s="3"/>
      <c r="P105" s="3"/>
      <c r="Q105" s="3"/>
      <c r="R105" s="3"/>
      <c r="S105" s="3"/>
      <c r="T105" s="3"/>
      <c r="U105" s="3"/>
      <c r="V105" s="3"/>
      <c r="W105" s="3"/>
      <c r="X105" s="3"/>
      <c r="Y105" s="3"/>
      <c r="Z105" s="3"/>
      <c r="AA105" s="3"/>
    </row>
    <row r="106" spans="1:27">
      <c r="A106" s="3"/>
      <c r="B106" s="3"/>
      <c r="C106" s="177"/>
      <c r="D106" s="141"/>
      <c r="E106" s="141"/>
      <c r="F106" s="141"/>
      <c r="G106" s="141"/>
      <c r="H106" s="141"/>
      <c r="I106" s="141"/>
      <c r="J106" s="141"/>
      <c r="K106" s="141"/>
      <c r="L106" s="141"/>
      <c r="M106" s="182"/>
      <c r="N106" s="3"/>
      <c r="O106" s="3"/>
      <c r="P106" s="3"/>
      <c r="Q106" s="3"/>
      <c r="R106" s="3"/>
      <c r="S106" s="3"/>
      <c r="T106" s="3"/>
      <c r="U106" s="3"/>
      <c r="V106" s="3"/>
      <c r="W106" s="3"/>
      <c r="X106" s="3"/>
      <c r="Y106" s="3"/>
      <c r="Z106" s="3"/>
      <c r="AA106" s="3"/>
    </row>
    <row r="107" spans="1:27">
      <c r="A107" s="3"/>
      <c r="B107" s="3"/>
      <c r="C107" s="177"/>
      <c r="D107" s="141" t="s">
        <v>200</v>
      </c>
      <c r="E107" s="141"/>
      <c r="F107" s="141"/>
      <c r="G107" s="141"/>
      <c r="H107" s="241" t="s">
        <v>140</v>
      </c>
      <c r="I107" s="141"/>
      <c r="J107" s="141"/>
      <c r="K107" s="141"/>
      <c r="L107" s="141"/>
      <c r="M107" s="182"/>
      <c r="N107" s="3"/>
      <c r="O107" s="3"/>
      <c r="P107" s="3"/>
      <c r="Q107" s="3"/>
      <c r="R107" s="3"/>
      <c r="S107" s="3"/>
      <c r="T107" s="3"/>
      <c r="U107" s="3"/>
      <c r="V107" s="3"/>
      <c r="W107" s="3"/>
      <c r="X107" s="3"/>
      <c r="Y107" s="3"/>
      <c r="Z107" s="3"/>
      <c r="AA107" s="3"/>
    </row>
    <row r="108" spans="1:27">
      <c r="A108" s="3"/>
      <c r="B108" s="3"/>
      <c r="C108" s="177"/>
      <c r="D108" s="141"/>
      <c r="E108" s="141"/>
      <c r="F108" s="141"/>
      <c r="G108" s="141"/>
      <c r="H108" s="141"/>
      <c r="I108" s="141"/>
      <c r="J108" s="141"/>
      <c r="K108" s="141"/>
      <c r="L108" s="141"/>
      <c r="M108" s="182"/>
      <c r="N108" s="3"/>
      <c r="O108" s="3"/>
      <c r="P108" s="3"/>
      <c r="Q108" s="3"/>
      <c r="R108" s="3"/>
      <c r="S108" s="3"/>
      <c r="T108" s="3"/>
      <c r="U108" s="3"/>
      <c r="V108" s="3"/>
      <c r="W108" s="3"/>
      <c r="X108" s="3"/>
      <c r="Y108" s="3"/>
      <c r="Z108" s="3"/>
      <c r="AA108" s="3"/>
    </row>
    <row r="109" spans="1:27">
      <c r="A109" s="3"/>
      <c r="B109" s="3"/>
      <c r="C109" s="177"/>
      <c r="D109" s="142" t="s">
        <v>715</v>
      </c>
      <c r="E109" s="141" t="s">
        <v>177</v>
      </c>
      <c r="F109" s="141"/>
      <c r="G109" s="459" t="s">
        <v>956</v>
      </c>
      <c r="H109" s="902"/>
      <c r="I109" s="141"/>
      <c r="J109" s="909">
        <v>1</v>
      </c>
      <c r="K109" s="141" t="s">
        <v>755</v>
      </c>
      <c r="L109" s="141"/>
      <c r="M109" s="182"/>
      <c r="N109" s="3"/>
      <c r="O109" s="3"/>
      <c r="P109" s="3"/>
      <c r="Q109" s="3"/>
      <c r="R109" s="3"/>
      <c r="S109" s="3"/>
      <c r="T109" s="3"/>
      <c r="U109" s="3"/>
      <c r="V109" s="3"/>
      <c r="W109" s="3"/>
      <c r="X109" s="3"/>
      <c r="Y109" s="3"/>
      <c r="Z109" s="3"/>
      <c r="AA109" s="3"/>
    </row>
    <row r="110" spans="1:27">
      <c r="A110" s="3"/>
      <c r="B110" s="3"/>
      <c r="C110" s="177"/>
      <c r="D110" s="141"/>
      <c r="E110" s="141" t="s">
        <v>178</v>
      </c>
      <c r="F110" s="141"/>
      <c r="G110" s="459"/>
      <c r="H110" s="902"/>
      <c r="I110" s="141"/>
      <c r="J110" s="909"/>
      <c r="K110" s="141" t="s">
        <v>755</v>
      </c>
      <c r="L110" s="141"/>
      <c r="M110" s="182"/>
      <c r="N110" s="3"/>
      <c r="O110" s="3"/>
      <c r="P110" s="3"/>
      <c r="Q110" s="3"/>
      <c r="R110" s="3"/>
      <c r="S110" s="3"/>
      <c r="T110" s="3"/>
      <c r="U110" s="3"/>
      <c r="V110" s="3"/>
      <c r="W110" s="3"/>
      <c r="X110" s="3"/>
      <c r="Y110" s="3"/>
      <c r="Z110" s="3"/>
      <c r="AA110" s="3"/>
    </row>
    <row r="111" spans="1:27">
      <c r="A111" s="3"/>
      <c r="B111" s="3"/>
      <c r="C111" s="177"/>
      <c r="D111" s="141"/>
      <c r="E111" s="141" t="s">
        <v>179</v>
      </c>
      <c r="F111" s="141"/>
      <c r="G111" s="459"/>
      <c r="H111" s="902"/>
      <c r="I111" s="141"/>
      <c r="J111" s="909"/>
      <c r="K111" s="141" t="s">
        <v>755</v>
      </c>
      <c r="L111" s="141"/>
      <c r="M111" s="182"/>
      <c r="N111" s="3"/>
      <c r="O111" s="3"/>
      <c r="P111" s="3"/>
      <c r="Q111" s="3"/>
      <c r="R111" s="3"/>
      <c r="S111" s="3"/>
      <c r="T111" s="3"/>
      <c r="U111" s="3"/>
      <c r="V111" s="3"/>
      <c r="W111" s="3"/>
      <c r="X111" s="3"/>
      <c r="Y111" s="3"/>
      <c r="Z111" s="3"/>
      <c r="AA111" s="3"/>
    </row>
    <row r="112" spans="1:27">
      <c r="A112" s="3"/>
      <c r="B112" s="3"/>
      <c r="C112" s="177"/>
      <c r="D112" s="141"/>
      <c r="E112" s="141"/>
      <c r="F112" s="141"/>
      <c r="G112" s="141"/>
      <c r="H112" s="141"/>
      <c r="I112" s="141"/>
      <c r="J112" s="961"/>
      <c r="K112" s="141"/>
      <c r="L112" s="141"/>
      <c r="M112" s="182"/>
      <c r="N112" s="3"/>
      <c r="O112" s="3"/>
      <c r="P112" s="3"/>
      <c r="Q112" s="3"/>
      <c r="R112" s="3"/>
      <c r="S112" s="3"/>
      <c r="T112" s="3"/>
      <c r="U112" s="3"/>
      <c r="V112" s="3"/>
      <c r="W112" s="3"/>
      <c r="X112" s="3"/>
      <c r="Y112" s="3"/>
      <c r="Z112" s="3"/>
      <c r="AA112" s="3"/>
    </row>
    <row r="113" spans="1:27">
      <c r="A113" s="3"/>
      <c r="B113" s="3"/>
      <c r="C113" s="177"/>
      <c r="D113" s="141"/>
      <c r="E113" s="141" t="s">
        <v>953</v>
      </c>
      <c r="F113" s="141"/>
      <c r="G113" s="141"/>
      <c r="H113" s="141"/>
      <c r="I113" s="141"/>
      <c r="J113" s="961"/>
      <c r="K113" s="141"/>
      <c r="L113" s="141"/>
      <c r="M113" s="182"/>
      <c r="N113" s="3"/>
      <c r="O113" s="3"/>
      <c r="P113" s="3"/>
      <c r="Q113" s="3"/>
      <c r="R113" s="3"/>
      <c r="S113" s="3"/>
      <c r="T113" s="3"/>
      <c r="U113" s="3"/>
      <c r="V113" s="3"/>
      <c r="W113" s="3"/>
      <c r="X113" s="3"/>
      <c r="Y113" s="3"/>
      <c r="Z113" s="3"/>
      <c r="AA113" s="3"/>
    </row>
    <row r="114" spans="1:27" ht="13">
      <c r="A114" s="3"/>
      <c r="B114" s="3"/>
      <c r="C114" s="177"/>
      <c r="D114" s="141"/>
      <c r="E114" s="141" t="s">
        <v>948</v>
      </c>
      <c r="F114" s="141"/>
      <c r="G114" s="141"/>
      <c r="H114" s="919">
        <v>7.5899999999999995E-2</v>
      </c>
      <c r="I114" s="192" t="s">
        <v>958</v>
      </c>
      <c r="J114" s="905">
        <f>Frequency!$M$16</f>
        <v>436.5</v>
      </c>
      <c r="K114" s="141" t="s">
        <v>754</v>
      </c>
      <c r="L114" s="141"/>
      <c r="M114" s="182"/>
      <c r="N114" s="3"/>
      <c r="O114" s="356" t="s">
        <v>679</v>
      </c>
      <c r="P114" s="367"/>
      <c r="Q114" s="293"/>
      <c r="R114" s="293"/>
      <c r="S114" s="293"/>
      <c r="T114" s="293"/>
      <c r="U114" s="293"/>
      <c r="V114" s="294"/>
      <c r="W114" s="3"/>
      <c r="X114" s="3"/>
      <c r="Y114" s="3"/>
      <c r="Z114" s="3"/>
      <c r="AA114" s="3"/>
    </row>
    <row r="115" spans="1:27">
      <c r="A115" s="3"/>
      <c r="B115" s="3"/>
      <c r="C115" s="177"/>
      <c r="D115" s="141"/>
      <c r="E115" s="141" t="s">
        <v>949</v>
      </c>
      <c r="F115" s="141"/>
      <c r="G115" s="141"/>
      <c r="H115" s="919"/>
      <c r="I115" s="192" t="s">
        <v>958</v>
      </c>
      <c r="J115" s="905">
        <f>Frequency!$M$16</f>
        <v>436.5</v>
      </c>
      <c r="K115" s="141" t="s">
        <v>754</v>
      </c>
      <c r="L115" s="141"/>
      <c r="M115" s="182"/>
      <c r="N115" s="3"/>
      <c r="O115" s="295"/>
      <c r="P115" s="297"/>
      <c r="Q115" s="297"/>
      <c r="R115" s="297"/>
      <c r="S115" s="297"/>
      <c r="T115" s="297"/>
      <c r="U115" s="297"/>
      <c r="V115" s="357"/>
      <c r="W115" s="3"/>
      <c r="X115" s="3"/>
      <c r="Y115" s="3"/>
      <c r="Z115" s="3"/>
      <c r="AA115" s="3"/>
    </row>
    <row r="116" spans="1:27">
      <c r="A116" s="3"/>
      <c r="B116" s="3"/>
      <c r="C116" s="177"/>
      <c r="D116" s="141"/>
      <c r="E116" s="141" t="s">
        <v>950</v>
      </c>
      <c r="F116" s="141"/>
      <c r="G116" s="141"/>
      <c r="H116" s="919"/>
      <c r="I116" s="192" t="s">
        <v>958</v>
      </c>
      <c r="J116" s="905">
        <f>Frequency!$M$16</f>
        <v>436.5</v>
      </c>
      <c r="K116" s="141" t="s">
        <v>754</v>
      </c>
      <c r="L116" s="141"/>
      <c r="M116" s="182"/>
      <c r="N116" s="3"/>
      <c r="O116" s="295"/>
      <c r="P116" s="297" t="s">
        <v>238</v>
      </c>
      <c r="Q116" s="297"/>
      <c r="R116" s="297"/>
      <c r="S116" s="297"/>
      <c r="T116" s="297"/>
      <c r="U116" s="297"/>
      <c r="V116" s="357"/>
      <c r="W116" s="3"/>
      <c r="X116" s="3"/>
      <c r="Y116" s="3"/>
      <c r="Z116" s="3"/>
      <c r="AA116" s="3"/>
    </row>
    <row r="117" spans="1:27">
      <c r="A117" s="3"/>
      <c r="B117" s="3"/>
      <c r="C117" s="177"/>
      <c r="D117" s="141"/>
      <c r="E117" s="141"/>
      <c r="F117" s="141"/>
      <c r="G117" s="141"/>
      <c r="H117" s="141"/>
      <c r="I117" s="141"/>
      <c r="J117" s="141"/>
      <c r="K117" s="141"/>
      <c r="L117" s="141"/>
      <c r="M117" s="182"/>
      <c r="N117" s="3"/>
      <c r="O117" s="295"/>
      <c r="P117" s="297"/>
      <c r="Q117" s="297"/>
      <c r="R117" s="297"/>
      <c r="S117" s="297"/>
      <c r="T117" s="297"/>
      <c r="U117" s="297"/>
      <c r="V117" s="357"/>
      <c r="W117" s="3"/>
      <c r="X117" s="3"/>
      <c r="Y117" s="3"/>
      <c r="Z117" s="3"/>
      <c r="AA117" s="3"/>
    </row>
    <row r="118" spans="1:27">
      <c r="A118" s="3"/>
      <c r="B118" s="3"/>
      <c r="C118" s="177"/>
      <c r="D118" s="141"/>
      <c r="E118" s="141" t="s">
        <v>205</v>
      </c>
      <c r="F118" s="141"/>
      <c r="G118" s="141"/>
      <c r="H118" s="141"/>
      <c r="I118" s="141" t="s">
        <v>1014</v>
      </c>
      <c r="J118" s="141">
        <f>J109*H114</f>
        <v>7.5899999999999995E-2</v>
      </c>
      <c r="K118" s="141" t="s">
        <v>757</v>
      </c>
      <c r="L118" s="141"/>
      <c r="M118" s="182"/>
      <c r="N118" s="3"/>
      <c r="O118" s="295"/>
      <c r="P118" s="297"/>
      <c r="Q118" s="297" t="s">
        <v>235</v>
      </c>
      <c r="R118" s="297"/>
      <c r="S118" s="297"/>
      <c r="T118" s="459">
        <v>436.5</v>
      </c>
      <c r="U118" s="41" t="s">
        <v>754</v>
      </c>
      <c r="V118" s="357"/>
      <c r="W118" s="3"/>
      <c r="X118" s="3"/>
      <c r="Y118" s="3"/>
      <c r="Z118" s="3"/>
      <c r="AA118" s="3"/>
    </row>
    <row r="119" spans="1:27">
      <c r="A119" s="3"/>
      <c r="B119" s="3"/>
      <c r="C119" s="177"/>
      <c r="D119" s="141"/>
      <c r="E119" s="141" t="s">
        <v>209</v>
      </c>
      <c r="F119" s="141"/>
      <c r="G119" s="141"/>
      <c r="H119" s="141"/>
      <c r="I119" s="141" t="s">
        <v>1015</v>
      </c>
      <c r="J119" s="141">
        <f t="shared" ref="J119:J120" si="7">J110*H115</f>
        <v>0</v>
      </c>
      <c r="K119" s="141" t="s">
        <v>757</v>
      </c>
      <c r="L119" s="141"/>
      <c r="M119" s="182"/>
      <c r="N119" s="3"/>
      <c r="O119" s="295"/>
      <c r="P119" s="297"/>
      <c r="Q119" s="297"/>
      <c r="R119" s="297"/>
      <c r="S119" s="297"/>
      <c r="T119" s="297"/>
      <c r="U119" s="297"/>
      <c r="V119" s="357"/>
      <c r="W119" s="3"/>
      <c r="X119" s="3"/>
      <c r="Y119" s="3"/>
      <c r="Z119" s="3"/>
      <c r="AA119" s="3"/>
    </row>
    <row r="120" spans="1:27">
      <c r="A120" s="3"/>
      <c r="B120" s="3"/>
      <c r="C120" s="177"/>
      <c r="D120" s="141"/>
      <c r="E120" s="141" t="s">
        <v>210</v>
      </c>
      <c r="F120" s="141"/>
      <c r="G120" s="141"/>
      <c r="H120" s="141"/>
      <c r="I120" s="141" t="s">
        <v>1016</v>
      </c>
      <c r="J120" s="141">
        <f t="shared" si="7"/>
        <v>0</v>
      </c>
      <c r="K120" s="141" t="s">
        <v>757</v>
      </c>
      <c r="L120" s="141"/>
      <c r="M120" s="182"/>
      <c r="N120" s="3"/>
      <c r="O120" s="295"/>
      <c r="P120" s="297"/>
      <c r="Q120" s="297" t="s">
        <v>236</v>
      </c>
      <c r="R120" s="297"/>
      <c r="S120" s="297"/>
      <c r="T120" s="962">
        <f>80*((T118/1000)/0.25)^-2.75+2.7</f>
        <v>19.976999820031672</v>
      </c>
      <c r="U120" s="369" t="s">
        <v>785</v>
      </c>
      <c r="V120" s="357"/>
      <c r="W120" s="3"/>
      <c r="X120" s="3"/>
      <c r="Y120" s="3"/>
      <c r="Z120" s="3"/>
      <c r="AA120" s="3"/>
    </row>
    <row r="121" spans="1:27">
      <c r="A121" s="3"/>
      <c r="B121" s="3"/>
      <c r="C121" s="177"/>
      <c r="D121" s="141"/>
      <c r="E121" s="141" t="s">
        <v>211</v>
      </c>
      <c r="F121" s="141"/>
      <c r="G121" s="141"/>
      <c r="H121" s="141"/>
      <c r="I121" s="141" t="s">
        <v>1017</v>
      </c>
      <c r="J121" s="909"/>
      <c r="K121" s="141" t="s">
        <v>757</v>
      </c>
      <c r="L121" s="141"/>
      <c r="M121" s="182"/>
      <c r="N121" s="3"/>
      <c r="O121" s="295"/>
      <c r="P121" s="297"/>
      <c r="Q121" s="297"/>
      <c r="R121" s="297"/>
      <c r="S121" s="297"/>
      <c r="T121" s="297"/>
      <c r="U121" s="358"/>
      <c r="V121" s="357"/>
      <c r="W121" s="3"/>
      <c r="X121" s="3"/>
      <c r="Y121" s="3"/>
      <c r="Z121" s="3"/>
      <c r="AA121" s="3"/>
    </row>
    <row r="122" spans="1:27">
      <c r="A122" s="3"/>
      <c r="B122" s="3"/>
      <c r="C122" s="177"/>
      <c r="D122" s="141"/>
      <c r="E122" s="141" t="s">
        <v>213</v>
      </c>
      <c r="F122" s="141"/>
      <c r="G122" s="141"/>
      <c r="H122" s="141"/>
      <c r="I122" s="141" t="s">
        <v>1018</v>
      </c>
      <c r="J122" s="909"/>
      <c r="K122" s="141" t="s">
        <v>757</v>
      </c>
      <c r="L122" s="141"/>
      <c r="M122" s="182"/>
      <c r="N122" s="3"/>
      <c r="O122" s="295"/>
      <c r="P122" s="297"/>
      <c r="Q122" s="297" t="s">
        <v>237</v>
      </c>
      <c r="R122" s="297"/>
      <c r="S122" s="297"/>
      <c r="T122" s="962">
        <f>380*((T118/1000)/0.25)^-2.75+2.7</f>
        <v>84.765749145150451</v>
      </c>
      <c r="U122" s="369" t="s">
        <v>785</v>
      </c>
      <c r="V122" s="357"/>
      <c r="W122" s="3"/>
      <c r="X122" s="3"/>
      <c r="Y122" s="3"/>
      <c r="Z122" s="3"/>
      <c r="AA122" s="3"/>
    </row>
    <row r="123" spans="1:27">
      <c r="A123" s="3"/>
      <c r="B123" s="3"/>
      <c r="C123" s="177"/>
      <c r="D123" s="141"/>
      <c r="E123" s="141" t="s">
        <v>232</v>
      </c>
      <c r="F123" s="141"/>
      <c r="G123" s="141"/>
      <c r="H123" s="381">
        <v>2</v>
      </c>
      <c r="I123" s="141" t="s">
        <v>233</v>
      </c>
      <c r="J123" s="912">
        <f>H123*0.05</f>
        <v>0.1</v>
      </c>
      <c r="K123" s="141" t="s">
        <v>757</v>
      </c>
      <c r="L123" s="141"/>
      <c r="M123" s="182"/>
      <c r="N123" s="3"/>
      <c r="O123" s="295"/>
      <c r="P123" s="297"/>
      <c r="Q123" s="297"/>
      <c r="R123" s="297"/>
      <c r="S123" s="297"/>
      <c r="T123" s="297"/>
      <c r="U123" s="297"/>
      <c r="V123" s="357"/>
      <c r="W123" s="3"/>
      <c r="X123" s="3"/>
      <c r="Y123" s="3"/>
      <c r="Z123" s="3"/>
      <c r="AA123" s="3"/>
    </row>
    <row r="124" spans="1:27">
      <c r="A124" s="3"/>
      <c r="B124" s="3"/>
      <c r="C124" s="177"/>
      <c r="D124" s="141"/>
      <c r="E124" s="141" t="s">
        <v>431</v>
      </c>
      <c r="F124" s="141"/>
      <c r="G124" s="141"/>
      <c r="H124" s="141"/>
      <c r="I124" s="141"/>
      <c r="J124" s="459" t="s">
        <v>430</v>
      </c>
      <c r="K124" s="366"/>
      <c r="L124" s="141"/>
      <c r="M124" s="182"/>
      <c r="N124" s="3"/>
      <c r="O124" s="295"/>
      <c r="P124" s="297"/>
      <c r="Q124" s="297"/>
      <c r="R124" s="297"/>
      <c r="S124" s="297"/>
      <c r="T124" s="297"/>
      <c r="U124" s="297"/>
      <c r="V124" s="357"/>
      <c r="W124" s="3"/>
      <c r="X124" s="3"/>
      <c r="Y124" s="3"/>
      <c r="Z124" s="3"/>
      <c r="AA124" s="3"/>
    </row>
    <row r="125" spans="1:27">
      <c r="A125" s="3"/>
      <c r="B125" s="3"/>
      <c r="C125" s="177"/>
      <c r="D125" s="141"/>
      <c r="E125" s="141"/>
      <c r="F125" s="141"/>
      <c r="G125" s="141"/>
      <c r="H125" s="141"/>
      <c r="I125" s="141"/>
      <c r="J125" s="141"/>
      <c r="K125" s="141"/>
      <c r="L125" s="141"/>
      <c r="M125" s="182"/>
      <c r="N125" s="3"/>
      <c r="O125" s="295"/>
      <c r="P125" s="297" t="s">
        <v>22</v>
      </c>
      <c r="Q125" s="297"/>
      <c r="R125" s="297"/>
      <c r="S125" s="297"/>
      <c r="T125" s="297"/>
      <c r="U125" s="297"/>
      <c r="V125" s="357"/>
      <c r="W125" s="3"/>
      <c r="X125" s="3"/>
      <c r="Y125" s="3"/>
      <c r="Z125" s="3"/>
      <c r="AA125" s="3"/>
    </row>
    <row r="126" spans="1:27">
      <c r="A126" s="3"/>
      <c r="B126" s="3"/>
      <c r="C126" s="177"/>
      <c r="D126" s="141"/>
      <c r="E126" s="141" t="s">
        <v>215</v>
      </c>
      <c r="F126" s="141"/>
      <c r="G126" s="141"/>
      <c r="H126" s="141"/>
      <c r="I126" s="141"/>
      <c r="J126" s="974">
        <f>SUM(J118:J123)</f>
        <v>0.1759</v>
      </c>
      <c r="K126" s="141" t="s">
        <v>757</v>
      </c>
      <c r="L126" s="141"/>
      <c r="M126" s="182"/>
      <c r="N126" s="3"/>
      <c r="O126" s="295"/>
      <c r="P126" s="297"/>
      <c r="Q126" s="297"/>
      <c r="R126" s="297"/>
      <c r="S126" s="297"/>
      <c r="T126" s="297"/>
      <c r="U126" s="297"/>
      <c r="V126" s="357"/>
      <c r="W126" s="3"/>
      <c r="X126" s="3"/>
      <c r="Y126" s="3"/>
      <c r="Z126" s="3"/>
      <c r="AA126" s="3"/>
    </row>
    <row r="127" spans="1:27">
      <c r="A127" s="3"/>
      <c r="B127" s="3"/>
      <c r="C127" s="177"/>
      <c r="D127" s="141"/>
      <c r="E127" s="141"/>
      <c r="F127" s="141"/>
      <c r="G127" s="141"/>
      <c r="H127" s="141"/>
      <c r="I127" s="141"/>
      <c r="J127" s="141"/>
      <c r="K127" s="141"/>
      <c r="L127" s="141"/>
      <c r="M127" s="182"/>
      <c r="N127" s="3"/>
      <c r="O127" s="295"/>
      <c r="P127" s="297"/>
      <c r="Q127" s="297" t="s">
        <v>239</v>
      </c>
      <c r="R127" s="297"/>
      <c r="S127" s="297"/>
      <c r="T127" s="963">
        <v>10</v>
      </c>
      <c r="U127" s="366" t="s">
        <v>241</v>
      </c>
      <c r="V127" s="357"/>
      <c r="W127" s="3"/>
      <c r="X127" s="3"/>
      <c r="Y127" s="3"/>
      <c r="Z127" s="3"/>
      <c r="AA127" s="3"/>
    </row>
    <row r="128" spans="1:27">
      <c r="A128" s="3"/>
      <c r="B128" s="3"/>
      <c r="C128" s="177"/>
      <c r="D128" s="141" t="s">
        <v>216</v>
      </c>
      <c r="E128" s="141"/>
      <c r="F128" s="141"/>
      <c r="G128" s="141"/>
      <c r="H128" s="141"/>
      <c r="I128" s="363" t="s">
        <v>1019</v>
      </c>
      <c r="J128" s="964">
        <f>10^-(J126/10)</f>
        <v>0.9603067908358236</v>
      </c>
      <c r="K128" s="141"/>
      <c r="L128" s="141"/>
      <c r="M128" s="182"/>
      <c r="N128" s="3"/>
      <c r="O128" s="295"/>
      <c r="P128" s="297"/>
      <c r="Q128" s="297"/>
      <c r="R128" s="297"/>
      <c r="S128" s="297"/>
      <c r="T128" s="297"/>
      <c r="U128" s="297"/>
      <c r="V128" s="357"/>
      <c r="W128" s="3"/>
      <c r="X128" s="3"/>
      <c r="Y128" s="3"/>
      <c r="Z128" s="3"/>
      <c r="AA128" s="3"/>
    </row>
    <row r="129" spans="1:27">
      <c r="A129" s="3"/>
      <c r="B129" s="3"/>
      <c r="C129" s="177"/>
      <c r="D129" s="141"/>
      <c r="E129" s="141"/>
      <c r="F129" s="141"/>
      <c r="G129" s="141"/>
      <c r="H129" s="141"/>
      <c r="I129" s="141"/>
      <c r="J129" s="141"/>
      <c r="K129" s="141"/>
      <c r="L129" s="141"/>
      <c r="M129" s="182"/>
      <c r="N129" s="3"/>
      <c r="O129" s="295"/>
      <c r="P129" s="241" t="s">
        <v>140</v>
      </c>
      <c r="Q129" s="373" t="s">
        <v>23</v>
      </c>
      <c r="R129" s="297"/>
      <c r="S129" s="297"/>
      <c r="T129" s="459">
        <v>-132.4</v>
      </c>
      <c r="U129" s="366" t="s">
        <v>783</v>
      </c>
      <c r="V129" s="357"/>
      <c r="W129" s="3"/>
      <c r="X129" s="3"/>
      <c r="Y129" s="3"/>
      <c r="Z129" s="3"/>
      <c r="AA129" s="3"/>
    </row>
    <row r="130" spans="1:27">
      <c r="A130" s="3"/>
      <c r="B130" s="3"/>
      <c r="C130" s="177"/>
      <c r="D130" s="141" t="s">
        <v>218</v>
      </c>
      <c r="E130" s="141"/>
      <c r="F130" s="141"/>
      <c r="G130" s="241" t="s">
        <v>140</v>
      </c>
      <c r="H130" s="141"/>
      <c r="I130" s="141" t="s">
        <v>1020</v>
      </c>
      <c r="J130" s="965">
        <v>500</v>
      </c>
      <c r="K130" s="141" t="s">
        <v>785</v>
      </c>
      <c r="L130" s="141"/>
      <c r="M130" s="182"/>
      <c r="N130" s="3"/>
      <c r="O130" s="295"/>
      <c r="P130" s="297"/>
      <c r="Q130" s="297"/>
      <c r="R130" s="297"/>
      <c r="S130" s="297"/>
      <c r="T130" s="297"/>
      <c r="U130" s="297"/>
      <c r="V130" s="357"/>
      <c r="W130" s="3"/>
      <c r="X130" s="3"/>
      <c r="Y130" s="3"/>
      <c r="Z130" s="3"/>
      <c r="AA130" s="3"/>
    </row>
    <row r="131" spans="1:27">
      <c r="A131" s="3"/>
      <c r="B131" s="3"/>
      <c r="C131" s="177"/>
      <c r="D131" s="141"/>
      <c r="E131" s="141"/>
      <c r="F131" s="141"/>
      <c r="G131" s="141"/>
      <c r="H131" s="141"/>
      <c r="I131" s="141"/>
      <c r="J131" s="141"/>
      <c r="K131" s="141"/>
      <c r="L131" s="141"/>
      <c r="M131" s="182"/>
      <c r="N131" s="3"/>
      <c r="O131" s="295"/>
      <c r="P131" s="297"/>
      <c r="Q131" s="373" t="s">
        <v>240</v>
      </c>
      <c r="R131" s="297"/>
      <c r="S131" s="297"/>
      <c r="T131" s="962">
        <f>10^((T129+198.6-10*LOG10(T127*1000))/10)</f>
        <v>416.86938347033458</v>
      </c>
      <c r="U131" s="370" t="s">
        <v>785</v>
      </c>
      <c r="V131" s="357"/>
      <c r="W131" s="3"/>
      <c r="X131" s="3"/>
      <c r="Y131" s="3"/>
      <c r="Z131" s="3"/>
      <c r="AA131" s="3"/>
    </row>
    <row r="132" spans="1:27">
      <c r="A132" s="3"/>
      <c r="B132" s="3"/>
      <c r="C132" s="177"/>
      <c r="D132" s="141" t="s">
        <v>538</v>
      </c>
      <c r="E132" s="141"/>
      <c r="F132" s="141"/>
      <c r="G132" s="141"/>
      <c r="H132" s="141"/>
      <c r="I132" s="141" t="s">
        <v>1009</v>
      </c>
      <c r="J132" s="965">
        <v>290</v>
      </c>
      <c r="K132" s="141" t="s">
        <v>785</v>
      </c>
      <c r="L132" s="141"/>
      <c r="M132" s="182"/>
      <c r="N132" s="3"/>
      <c r="O132" s="295"/>
      <c r="P132" s="297"/>
      <c r="Q132" s="297"/>
      <c r="R132" s="297"/>
      <c r="S132" s="297"/>
      <c r="T132" s="297"/>
      <c r="U132" s="297"/>
      <c r="V132" s="357"/>
      <c r="W132" s="3"/>
      <c r="X132" s="3"/>
      <c r="Y132" s="3"/>
      <c r="Z132" s="3"/>
      <c r="AA132" s="3"/>
    </row>
    <row r="133" spans="1:27" ht="13">
      <c r="A133" s="3"/>
      <c r="B133" s="3"/>
      <c r="C133" s="177"/>
      <c r="D133" s="141"/>
      <c r="E133" s="141"/>
      <c r="F133" s="141"/>
      <c r="G133" s="141"/>
      <c r="H133" s="141"/>
      <c r="I133" s="141"/>
      <c r="J133" s="141"/>
      <c r="K133" s="141"/>
      <c r="L133" s="141"/>
      <c r="M133" s="182"/>
      <c r="N133" s="3"/>
      <c r="O133" s="295"/>
      <c r="P133" s="297" t="s">
        <v>242</v>
      </c>
      <c r="Q133" s="297"/>
      <c r="R133" s="297"/>
      <c r="S133" s="297"/>
      <c r="T133" s="372">
        <f>T120+T131</f>
        <v>436.84638329036625</v>
      </c>
      <c r="U133" s="371" t="s">
        <v>785</v>
      </c>
      <c r="V133" s="357"/>
      <c r="W133" s="3"/>
      <c r="X133" s="3"/>
      <c r="Y133" s="3"/>
      <c r="Z133" s="3"/>
      <c r="AA133" s="3"/>
    </row>
    <row r="134" spans="1:27">
      <c r="A134" s="3"/>
      <c r="B134" s="3"/>
      <c r="C134" s="177"/>
      <c r="D134" s="141" t="s">
        <v>222</v>
      </c>
      <c r="E134" s="141"/>
      <c r="F134" s="141"/>
      <c r="G134" s="141"/>
      <c r="H134" s="141"/>
      <c r="I134" s="141" t="s">
        <v>1021</v>
      </c>
      <c r="J134" s="965">
        <v>39</v>
      </c>
      <c r="K134" s="141" t="s">
        <v>785</v>
      </c>
      <c r="L134" s="141"/>
      <c r="M134" s="182"/>
      <c r="N134" s="3"/>
      <c r="O134" s="295"/>
      <c r="P134" s="297"/>
      <c r="Q134" s="297"/>
      <c r="R134" s="297"/>
      <c r="S134" s="297"/>
      <c r="T134" s="299"/>
      <c r="U134" s="299"/>
      <c r="V134" s="357"/>
      <c r="W134" s="3"/>
      <c r="X134" s="3"/>
      <c r="Y134" s="3"/>
      <c r="Z134" s="3"/>
      <c r="AA134" s="3"/>
    </row>
    <row r="135" spans="1:27" ht="13">
      <c r="A135" s="3"/>
      <c r="B135" s="3"/>
      <c r="C135" s="177"/>
      <c r="D135" s="141"/>
      <c r="E135" s="141"/>
      <c r="F135" s="141"/>
      <c r="G135" s="141"/>
      <c r="H135" s="141"/>
      <c r="I135" s="141"/>
      <c r="J135" s="141"/>
      <c r="K135" s="141"/>
      <c r="L135" s="141"/>
      <c r="M135" s="182"/>
      <c r="N135" s="3"/>
      <c r="O135" s="295"/>
      <c r="P135" s="297" t="s">
        <v>243</v>
      </c>
      <c r="Q135" s="297"/>
      <c r="R135" s="297"/>
      <c r="S135" s="297"/>
      <c r="T135" s="372">
        <f>T122+T131</f>
        <v>501.63513261548502</v>
      </c>
      <c r="U135" s="371" t="s">
        <v>785</v>
      </c>
      <c r="V135" s="357"/>
      <c r="W135" s="3"/>
      <c r="X135" s="3"/>
      <c r="Y135" s="3"/>
      <c r="Z135" s="3"/>
      <c r="AA135" s="3"/>
    </row>
    <row r="136" spans="1:27">
      <c r="A136" s="3"/>
      <c r="B136" s="3"/>
      <c r="C136" s="177"/>
      <c r="D136" s="141" t="s">
        <v>224</v>
      </c>
      <c r="E136" s="141"/>
      <c r="F136" s="966">
        <v>18</v>
      </c>
      <c r="G136" s="141" t="s">
        <v>757</v>
      </c>
      <c r="H136" s="141"/>
      <c r="I136" s="141" t="s">
        <v>1022</v>
      </c>
      <c r="J136" s="302">
        <f>10^(F136/10)</f>
        <v>63.095734448019364</v>
      </c>
      <c r="K136" s="141"/>
      <c r="L136" s="141"/>
      <c r="M136" s="914" t="s">
        <v>983</v>
      </c>
      <c r="N136" s="3"/>
      <c r="O136" s="298"/>
      <c r="P136" s="299"/>
      <c r="Q136" s="299"/>
      <c r="R136" s="299"/>
      <c r="S136" s="299"/>
      <c r="T136" s="299"/>
      <c r="U136" s="299"/>
      <c r="V136" s="300"/>
      <c r="W136" s="3"/>
      <c r="X136" s="3"/>
      <c r="Y136" s="3"/>
      <c r="Z136" s="3"/>
      <c r="AA136" s="3"/>
    </row>
    <row r="137" spans="1:27">
      <c r="A137" s="3"/>
      <c r="B137" s="3"/>
      <c r="C137" s="177"/>
      <c r="D137" s="141"/>
      <c r="E137" s="141"/>
      <c r="F137" s="967"/>
      <c r="G137" s="141"/>
      <c r="H137" s="141"/>
      <c r="I137" s="141"/>
      <c r="J137" s="302"/>
      <c r="K137" s="141"/>
      <c r="L137" s="141"/>
      <c r="M137" s="182"/>
      <c r="N137" s="3"/>
      <c r="O137" s="3"/>
      <c r="P137" s="3"/>
      <c r="Q137" s="3"/>
      <c r="R137" s="3"/>
      <c r="S137" s="3"/>
      <c r="T137" s="3"/>
      <c r="U137" s="3"/>
      <c r="V137" s="3"/>
      <c r="W137" s="3"/>
      <c r="X137" s="3"/>
      <c r="Y137" s="3"/>
      <c r="Z137" s="3"/>
      <c r="AA137" s="3"/>
    </row>
    <row r="138" spans="1:27" ht="13">
      <c r="A138" s="3"/>
      <c r="B138" s="3"/>
      <c r="C138" s="177"/>
      <c r="D138" s="141" t="s">
        <v>666</v>
      </c>
      <c r="E138" s="141"/>
      <c r="F138" s="967"/>
      <c r="G138" s="241" t="s">
        <v>140</v>
      </c>
      <c r="H138" s="141"/>
      <c r="I138" s="141"/>
      <c r="J138" s="909">
        <v>8.26</v>
      </c>
      <c r="K138" s="141" t="s">
        <v>665</v>
      </c>
      <c r="L138" s="141"/>
      <c r="M138" s="182"/>
      <c r="N138" s="3"/>
      <c r="O138" s="925" t="s">
        <v>975</v>
      </c>
      <c r="P138" s="926"/>
      <c r="Q138" s="926"/>
      <c r="R138" s="926"/>
      <c r="S138" s="926"/>
      <c r="T138" s="926"/>
      <c r="U138" s="926"/>
      <c r="V138" s="926"/>
      <c r="W138" s="926"/>
      <c r="X138" s="926"/>
      <c r="Y138" s="926"/>
      <c r="Z138" s="926"/>
      <c r="AA138" s="927"/>
    </row>
    <row r="139" spans="1:27">
      <c r="A139" s="3"/>
      <c r="B139" s="3"/>
      <c r="C139" s="177"/>
      <c r="D139" s="141"/>
      <c r="E139" s="141"/>
      <c r="F139" s="967"/>
      <c r="G139" s="141"/>
      <c r="H139" s="141"/>
      <c r="I139" s="141"/>
      <c r="J139" s="302"/>
      <c r="K139" s="141"/>
      <c r="L139" s="141"/>
      <c r="M139" s="182"/>
      <c r="N139" s="3"/>
      <c r="O139" s="928"/>
      <c r="P139" s="929"/>
      <c r="Q139" s="929"/>
      <c r="R139" s="929"/>
      <c r="S139" s="929"/>
      <c r="T139" s="929"/>
      <c r="U139" s="929"/>
      <c r="V139" s="929"/>
      <c r="W139" s="929"/>
      <c r="X139" s="929"/>
      <c r="Y139" s="929"/>
      <c r="Z139" s="929"/>
      <c r="AA139" s="930"/>
    </row>
    <row r="140" spans="1:27" ht="15" thickBot="1">
      <c r="A140" s="3"/>
      <c r="B140" s="3"/>
      <c r="C140" s="177"/>
      <c r="D140" s="141" t="s">
        <v>667</v>
      </c>
      <c r="E140" s="141"/>
      <c r="F140" s="967"/>
      <c r="G140" s="141"/>
      <c r="H140" s="141"/>
      <c r="I140" s="141"/>
      <c r="J140" s="459" t="s">
        <v>956</v>
      </c>
      <c r="K140" s="366"/>
      <c r="L140" s="141"/>
      <c r="M140" s="182"/>
      <c r="N140" s="3"/>
      <c r="O140" s="931" t="s">
        <v>960</v>
      </c>
      <c r="P140" s="932" t="s">
        <v>961</v>
      </c>
      <c r="Q140" s="933"/>
      <c r="R140" s="931" t="s">
        <v>962</v>
      </c>
      <c r="S140" s="931" t="s">
        <v>963</v>
      </c>
      <c r="T140" s="931"/>
      <c r="U140" s="931" t="s">
        <v>964</v>
      </c>
      <c r="V140" s="931" t="s">
        <v>965</v>
      </c>
      <c r="W140" s="931" t="s">
        <v>966</v>
      </c>
      <c r="X140" s="931" t="s">
        <v>967</v>
      </c>
      <c r="Y140" s="931" t="s">
        <v>968</v>
      </c>
      <c r="Z140" s="931" t="s">
        <v>969</v>
      </c>
      <c r="AA140" s="931" t="s">
        <v>970</v>
      </c>
    </row>
    <row r="141" spans="1:27">
      <c r="A141" s="3"/>
      <c r="B141" s="3"/>
      <c r="C141" s="177"/>
      <c r="D141" s="141"/>
      <c r="E141" s="141"/>
      <c r="F141" s="967"/>
      <c r="G141" s="141"/>
      <c r="H141" s="141"/>
      <c r="I141" s="141"/>
      <c r="J141" s="302"/>
      <c r="K141" s="141"/>
      <c r="L141" s="141"/>
      <c r="M141" s="182"/>
      <c r="N141" s="3"/>
      <c r="O141" s="934">
        <v>1</v>
      </c>
      <c r="P141" s="935" t="s">
        <v>972</v>
      </c>
      <c r="Q141" s="936"/>
      <c r="R141" s="937">
        <v>-0.1</v>
      </c>
      <c r="S141" s="937">
        <v>0.1</v>
      </c>
      <c r="T141" s="938"/>
      <c r="U141" s="939">
        <f>IF(R141,10^(R141/10), "")</f>
        <v>0.97723722095581067</v>
      </c>
      <c r="V141" s="939">
        <f>IF(S141,10^(S141/10), "")</f>
        <v>1.0232929922807541</v>
      </c>
      <c r="W141" s="939">
        <f>IF(S141,1,"")</f>
        <v>1</v>
      </c>
      <c r="X141" s="938">
        <f>IF(S141,290*(V141-1), "")</f>
        <v>6.7549677614186887</v>
      </c>
      <c r="Y141" s="938">
        <f t="shared" ref="Y141:Y150" si="8">IF(S141,X141/W141, "")</f>
        <v>6.7549677614186887</v>
      </c>
      <c r="Z141" s="939">
        <f>IF(S141,(V141-1)/W141, "")</f>
        <v>2.3292992280754099E-2</v>
      </c>
      <c r="AA141" s="939">
        <f>IF(S141,Z141+1, "")</f>
        <v>1.0232929922807541</v>
      </c>
    </row>
    <row r="142" spans="1:27">
      <c r="A142" s="3"/>
      <c r="B142" s="3"/>
      <c r="C142" s="177"/>
      <c r="D142" s="141" t="s">
        <v>668</v>
      </c>
      <c r="E142" s="141"/>
      <c r="F142" s="967"/>
      <c r="G142" s="141"/>
      <c r="H142" s="141"/>
      <c r="I142" s="141"/>
      <c r="J142" s="968">
        <v>7.5899999999999995E-2</v>
      </c>
      <c r="K142" s="141" t="s">
        <v>1023</v>
      </c>
      <c r="L142" s="141"/>
      <c r="M142" s="182"/>
      <c r="N142" s="3"/>
      <c r="O142" s="934">
        <v>2</v>
      </c>
      <c r="P142" s="940" t="s">
        <v>973</v>
      </c>
      <c r="Q142" s="941"/>
      <c r="R142" s="937">
        <v>-0.4</v>
      </c>
      <c r="S142" s="937">
        <v>0.4</v>
      </c>
      <c r="T142" s="938"/>
      <c r="U142" s="939">
        <f t="shared" ref="U142:V150" si="9">IF(R142,10^(R142/10), "")</f>
        <v>0.91201083935590965</v>
      </c>
      <c r="V142" s="939">
        <f t="shared" si="9"/>
        <v>1.0964781961431851</v>
      </c>
      <c r="W142" s="939">
        <f t="shared" ref="W142:W150" si="10">IF(S142,W141*U141, "")</f>
        <v>0.97723722095581067</v>
      </c>
      <c r="X142" s="938">
        <f t="shared" ref="X142:X150" si="11">IF(S142,290*(V142-1), "")</f>
        <v>27.978676881523675</v>
      </c>
      <c r="Y142" s="938">
        <f t="shared" si="8"/>
        <v>28.630383986150722</v>
      </c>
      <c r="Z142" s="939">
        <f t="shared" ref="Z142:Z150" si="12">IF(S142,(V142-1)/W142, "")</f>
        <v>9.8725462021209381E-2</v>
      </c>
      <c r="AA142" s="939">
        <f>IF(S142, AA141+Z142, "")</f>
        <v>1.1220184543019636</v>
      </c>
    </row>
    <row r="143" spans="1:27">
      <c r="A143" s="3"/>
      <c r="B143" s="3"/>
      <c r="C143" s="177"/>
      <c r="D143" s="141"/>
      <c r="E143" s="141"/>
      <c r="F143" s="967"/>
      <c r="G143" s="141"/>
      <c r="H143" s="141"/>
      <c r="I143" s="141"/>
      <c r="J143" s="302"/>
      <c r="K143" s="141"/>
      <c r="L143" s="141"/>
      <c r="M143" s="182"/>
      <c r="N143" s="3"/>
      <c r="O143" s="934">
        <v>3</v>
      </c>
      <c r="P143" s="940" t="s">
        <v>1068</v>
      </c>
      <c r="Q143" s="941"/>
      <c r="R143" s="937">
        <v>-0.1</v>
      </c>
      <c r="S143" s="937">
        <v>0.1</v>
      </c>
      <c r="T143" s="938"/>
      <c r="U143" s="939">
        <f t="shared" si="9"/>
        <v>0.97723722095581067</v>
      </c>
      <c r="V143" s="939">
        <f t="shared" si="9"/>
        <v>1.0232929922807541</v>
      </c>
      <c r="W143" s="939">
        <f t="shared" si="10"/>
        <v>0.89125093813374545</v>
      </c>
      <c r="X143" s="938">
        <f t="shared" si="11"/>
        <v>6.7549677614186887</v>
      </c>
      <c r="Y143" s="938">
        <f t="shared" si="8"/>
        <v>7.5791984865265922</v>
      </c>
      <c r="Z143" s="939">
        <f t="shared" si="12"/>
        <v>2.6135167194919283E-2</v>
      </c>
      <c r="AA143" s="939">
        <f t="shared" ref="AA143:AA150" si="13">IF(S143, AA142+Z143, "")</f>
        <v>1.1481536214968828</v>
      </c>
    </row>
    <row r="144" spans="1:27">
      <c r="A144" s="3"/>
      <c r="B144" s="3"/>
      <c r="C144" s="177"/>
      <c r="D144" s="141" t="s">
        <v>669</v>
      </c>
      <c r="E144" s="141"/>
      <c r="F144" s="967"/>
      <c r="G144" s="141"/>
      <c r="H144" s="141"/>
      <c r="I144" s="141"/>
      <c r="J144" s="969">
        <f>J138*J142</f>
        <v>0.62693399999999999</v>
      </c>
      <c r="K144" s="141" t="s">
        <v>757</v>
      </c>
      <c r="L144" s="141"/>
      <c r="M144" s="182"/>
      <c r="N144" s="3"/>
      <c r="O144" s="934">
        <v>4</v>
      </c>
      <c r="P144" s="940" t="s">
        <v>981</v>
      </c>
      <c r="Q144" s="941"/>
      <c r="R144" s="937">
        <v>-0.1</v>
      </c>
      <c r="S144" s="937">
        <v>0.1</v>
      </c>
      <c r="T144" s="938"/>
      <c r="U144" s="939">
        <f t="shared" si="9"/>
        <v>0.97723722095581067</v>
      </c>
      <c r="V144" s="939">
        <f t="shared" si="9"/>
        <v>1.0232929922807541</v>
      </c>
      <c r="W144" s="939">
        <f t="shared" si="10"/>
        <v>0.87096358995608059</v>
      </c>
      <c r="X144" s="938">
        <f t="shared" si="11"/>
        <v>6.7549677614186887</v>
      </c>
      <c r="Y144" s="938">
        <f t="shared" si="8"/>
        <v>7.7557406983675587</v>
      </c>
      <c r="Z144" s="939">
        <f t="shared" si="12"/>
        <v>2.6743933442646754E-2</v>
      </c>
      <c r="AA144" s="939">
        <f t="shared" si="13"/>
        <v>1.1748975549395295</v>
      </c>
    </row>
    <row r="145" spans="1:27">
      <c r="A145" s="3"/>
      <c r="B145" s="3"/>
      <c r="C145" s="177"/>
      <c r="D145" s="141"/>
      <c r="E145" s="141"/>
      <c r="F145" s="141"/>
      <c r="G145" s="141"/>
      <c r="H145" s="141"/>
      <c r="I145" s="141"/>
      <c r="J145" s="141"/>
      <c r="K145" s="141"/>
      <c r="L145" s="141"/>
      <c r="M145" s="182"/>
      <c r="N145" s="3"/>
      <c r="O145" s="934">
        <v>5</v>
      </c>
      <c r="P145" s="940" t="s">
        <v>982</v>
      </c>
      <c r="Q145" s="941"/>
      <c r="R145" s="937">
        <v>-0.8</v>
      </c>
      <c r="S145" s="937">
        <v>0.8</v>
      </c>
      <c r="T145" s="938"/>
      <c r="U145" s="939">
        <f t="shared" si="9"/>
        <v>0.83176377110267097</v>
      </c>
      <c r="V145" s="939">
        <f t="shared" si="9"/>
        <v>1.2022644346174129</v>
      </c>
      <c r="W145" s="939">
        <f t="shared" si="10"/>
        <v>0.85113803820237643</v>
      </c>
      <c r="X145" s="938">
        <f t="shared" si="11"/>
        <v>58.656686039049752</v>
      </c>
      <c r="Y145" s="938">
        <f t="shared" si="8"/>
        <v>68.915597008135194</v>
      </c>
      <c r="Z145" s="939">
        <f t="shared" si="12"/>
        <v>0.23763998968322481</v>
      </c>
      <c r="AA145" s="939">
        <f t="shared" si="13"/>
        <v>1.4125375446227544</v>
      </c>
    </row>
    <row r="146" spans="1:27" ht="13">
      <c r="A146" s="3"/>
      <c r="B146" s="3"/>
      <c r="C146" s="177"/>
      <c r="D146" s="141" t="s">
        <v>108</v>
      </c>
      <c r="E146" s="141"/>
      <c r="F146" s="141"/>
      <c r="G146" s="141"/>
      <c r="H146" s="141"/>
      <c r="I146" s="141" t="s">
        <v>1006</v>
      </c>
      <c r="J146" s="374">
        <f>Y152</f>
        <v>1556.7070106329561</v>
      </c>
      <c r="K146" s="141" t="s">
        <v>785</v>
      </c>
      <c r="L146" s="141"/>
      <c r="M146" s="182"/>
      <c r="N146" s="3"/>
      <c r="O146" s="934">
        <v>8</v>
      </c>
      <c r="P146" s="940" t="s">
        <v>1070</v>
      </c>
      <c r="Q146" s="941"/>
      <c r="R146" s="937">
        <v>-0.14000000000000001</v>
      </c>
      <c r="S146" s="937">
        <v>0.14000000000000001</v>
      </c>
      <c r="T146" s="938"/>
      <c r="U146" s="939">
        <f t="shared" si="9"/>
        <v>0.96827785626124918</v>
      </c>
      <c r="V146" s="939">
        <f t="shared" si="9"/>
        <v>1.0327614057613974</v>
      </c>
      <c r="W146" s="939">
        <f t="shared" si="10"/>
        <v>0.7079457843841378</v>
      </c>
      <c r="X146" s="938">
        <f t="shared" si="11"/>
        <v>9.5008076708052496</v>
      </c>
      <c r="Y146" s="938">
        <f t="shared" si="8"/>
        <v>13.420247539252278</v>
      </c>
      <c r="Z146" s="939">
        <f t="shared" si="12"/>
        <v>4.6276715652594065E-2</v>
      </c>
      <c r="AA146" s="939">
        <f t="shared" si="13"/>
        <v>1.4588142602753484</v>
      </c>
    </row>
    <row r="147" spans="1:27">
      <c r="A147" s="3"/>
      <c r="B147" s="3"/>
      <c r="C147" s="177"/>
      <c r="D147" s="141"/>
      <c r="E147" s="141"/>
      <c r="F147" s="141"/>
      <c r="G147" s="141"/>
      <c r="H147" s="141"/>
      <c r="I147" s="141"/>
      <c r="J147" s="141"/>
      <c r="K147" s="141"/>
      <c r="L147" s="141"/>
      <c r="M147" s="182"/>
      <c r="N147" s="3"/>
      <c r="O147" s="934">
        <v>9</v>
      </c>
      <c r="P147" s="940" t="s">
        <v>1069</v>
      </c>
      <c r="Q147" s="941"/>
      <c r="R147" s="937">
        <v>-0.1</v>
      </c>
      <c r="S147" s="937">
        <v>0.1</v>
      </c>
      <c r="T147" s="938"/>
      <c r="U147" s="939">
        <f t="shared" si="9"/>
        <v>0.97723722095581067</v>
      </c>
      <c r="V147" s="939">
        <f t="shared" si="9"/>
        <v>1.0232929922807541</v>
      </c>
      <c r="W147" s="939">
        <f t="shared" si="10"/>
        <v>0.6854882264526615</v>
      </c>
      <c r="X147" s="938">
        <f t="shared" si="11"/>
        <v>6.7549677614186887</v>
      </c>
      <c r="Y147" s="938">
        <f t="shared" si="8"/>
        <v>9.8542432980578312</v>
      </c>
      <c r="Z147" s="939">
        <f t="shared" si="12"/>
        <v>3.3980149303647691E-2</v>
      </c>
      <c r="AA147" s="939">
        <f t="shared" si="13"/>
        <v>1.4927944095789962</v>
      </c>
    </row>
    <row r="148" spans="1:27" ht="13">
      <c r="A148" s="3"/>
      <c r="B148" s="3"/>
      <c r="C148" s="177"/>
      <c r="D148" s="141"/>
      <c r="E148" s="141"/>
      <c r="F148" s="141"/>
      <c r="G148" s="141"/>
      <c r="H148" s="141"/>
      <c r="I148" s="141"/>
      <c r="J148" s="141"/>
      <c r="K148" s="141"/>
      <c r="L148" s="364"/>
      <c r="M148" s="182"/>
      <c r="N148" s="3"/>
      <c r="O148" s="934">
        <v>10</v>
      </c>
      <c r="P148" s="940" t="s">
        <v>973</v>
      </c>
      <c r="Q148" s="941"/>
      <c r="R148" s="937">
        <v>-0.3</v>
      </c>
      <c r="S148" s="937">
        <v>0.3</v>
      </c>
      <c r="T148" s="938"/>
      <c r="U148" s="939">
        <f t="shared" si="9"/>
        <v>0.93325430079699101</v>
      </c>
      <c r="V148" s="939">
        <f t="shared" si="9"/>
        <v>1.0715193052376064</v>
      </c>
      <c r="W148" s="939">
        <f t="shared" si="10"/>
        <v>0.66988460941652639</v>
      </c>
      <c r="X148" s="938">
        <f t="shared" si="11"/>
        <v>20.740598518905859</v>
      </c>
      <c r="Y148" s="938">
        <f t="shared" si="8"/>
        <v>30.961449520345074</v>
      </c>
      <c r="Z148" s="939">
        <f t="shared" si="12"/>
        <v>0.10676361903567268</v>
      </c>
      <c r="AA148" s="939">
        <f t="shared" si="13"/>
        <v>1.5995580286146689</v>
      </c>
    </row>
    <row r="149" spans="1:27" ht="13">
      <c r="A149" s="3"/>
      <c r="B149" s="3"/>
      <c r="C149" s="177"/>
      <c r="D149" s="141" t="s">
        <v>226</v>
      </c>
      <c r="E149" s="141"/>
      <c r="F149" s="141"/>
      <c r="G149" s="141"/>
      <c r="H149" s="141"/>
      <c r="I149" s="141" t="s">
        <v>1024</v>
      </c>
      <c r="J149" s="374">
        <f>J130*J128+J132*(1-J128)+J134+(J146/(J136/(10^(J144/10))))</f>
        <v>559.16806325412506</v>
      </c>
      <c r="K149" s="141" t="s">
        <v>785</v>
      </c>
      <c r="L149" s="141"/>
      <c r="M149" s="182"/>
      <c r="N149" s="3"/>
      <c r="O149" s="934">
        <v>11</v>
      </c>
      <c r="P149" s="940" t="s">
        <v>974</v>
      </c>
      <c r="Q149" s="941"/>
      <c r="R149" s="937"/>
      <c r="S149" s="937">
        <v>6</v>
      </c>
      <c r="T149" s="938"/>
      <c r="U149" s="939" t="str">
        <f t="shared" si="9"/>
        <v/>
      </c>
      <c r="V149" s="939">
        <f t="shared" si="9"/>
        <v>3.9810717055349727</v>
      </c>
      <c r="W149" s="939">
        <f t="shared" si="10"/>
        <v>0.62517269277568577</v>
      </c>
      <c r="X149" s="938">
        <f t="shared" si="11"/>
        <v>864.51079460514211</v>
      </c>
      <c r="Y149" s="938">
        <f t="shared" si="8"/>
        <v>1382.835182334702</v>
      </c>
      <c r="Z149" s="939">
        <f t="shared" si="12"/>
        <v>4.7683971804644898</v>
      </c>
      <c r="AA149" s="939">
        <f t="shared" si="13"/>
        <v>6.3679552090791587</v>
      </c>
    </row>
    <row r="150" spans="1:27" ht="13" thickBot="1">
      <c r="A150" s="3"/>
      <c r="B150" s="3"/>
      <c r="C150" s="177"/>
      <c r="D150" s="141"/>
      <c r="E150" s="141"/>
      <c r="F150" s="141"/>
      <c r="G150" s="141"/>
      <c r="H150" s="141"/>
      <c r="I150" s="141"/>
      <c r="J150" s="141"/>
      <c r="K150" s="141"/>
      <c r="L150" s="141"/>
      <c r="M150" s="182"/>
      <c r="N150" s="3"/>
      <c r="O150" s="942">
        <v>12</v>
      </c>
      <c r="P150" s="943"/>
      <c r="Q150" s="944"/>
      <c r="R150" s="945"/>
      <c r="S150" s="945"/>
      <c r="T150" s="946"/>
      <c r="U150" s="947" t="str">
        <f t="shared" si="9"/>
        <v/>
      </c>
      <c r="V150" s="947" t="str">
        <f t="shared" si="9"/>
        <v/>
      </c>
      <c r="W150" s="947" t="str">
        <f t="shared" si="10"/>
        <v/>
      </c>
      <c r="X150" s="946" t="str">
        <f t="shared" si="11"/>
        <v/>
      </c>
      <c r="Y150" s="946" t="str">
        <f t="shared" si="8"/>
        <v/>
      </c>
      <c r="Z150" s="947" t="str">
        <f t="shared" si="12"/>
        <v/>
      </c>
      <c r="AA150" s="947" t="str">
        <f t="shared" si="13"/>
        <v/>
      </c>
    </row>
    <row r="151" spans="1:27">
      <c r="A151" s="3"/>
      <c r="B151" s="3"/>
      <c r="C151" s="177"/>
      <c r="D151" s="141"/>
      <c r="E151" s="141"/>
      <c r="F151" s="141"/>
      <c r="G151" s="141"/>
      <c r="H151" s="141"/>
      <c r="I151" s="141"/>
      <c r="J151" s="141"/>
      <c r="K151" s="141"/>
      <c r="L151" s="141"/>
      <c r="M151" s="182"/>
      <c r="N151" s="3"/>
      <c r="O151" s="948"/>
      <c r="P151" s="949"/>
      <c r="Q151" s="929"/>
      <c r="R151" s="950"/>
      <c r="S151" s="950"/>
      <c r="T151" s="950"/>
      <c r="U151" s="950"/>
      <c r="V151" s="950"/>
      <c r="W151" s="950"/>
      <c r="X151" s="950"/>
      <c r="Y151" s="950"/>
      <c r="Z151" s="950"/>
      <c r="AA151" s="951"/>
    </row>
    <row r="152" spans="1:27" ht="14.5">
      <c r="A152" s="3"/>
      <c r="B152" s="3"/>
      <c r="C152" s="235"/>
      <c r="D152" s="236"/>
      <c r="E152" s="236"/>
      <c r="F152" s="236"/>
      <c r="G152" s="236"/>
      <c r="H152" s="236"/>
      <c r="I152" s="236"/>
      <c r="J152" s="236"/>
      <c r="K152" s="236"/>
      <c r="L152" s="236"/>
      <c r="M152" s="237"/>
      <c r="N152" s="3"/>
      <c r="O152" s="952"/>
      <c r="P152" s="953"/>
      <c r="Q152" s="954"/>
      <c r="R152" s="955"/>
      <c r="S152" s="955"/>
      <c r="T152" s="955"/>
      <c r="U152" s="955"/>
      <c r="V152" s="955"/>
      <c r="W152" s="955"/>
      <c r="X152" s="956" t="s">
        <v>971</v>
      </c>
      <c r="Y152" s="957">
        <f>SUM(Y141:Y150)</f>
        <v>1556.7070106329561</v>
      </c>
      <c r="Z152" s="958"/>
      <c r="AA152" s="959"/>
    </row>
    <row r="153" spans="1:27">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row>
    <row r="154" spans="1:27">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row>
    <row r="155" spans="1:27">
      <c r="A155" s="3"/>
      <c r="B155" s="3"/>
      <c r="C155" s="3"/>
      <c r="D155" s="3"/>
      <c r="E155" s="3"/>
      <c r="F155" s="3"/>
      <c r="G155" s="3"/>
      <c r="H155" s="3"/>
      <c r="I155" s="3"/>
      <c r="J155" s="3"/>
      <c r="K155" s="3"/>
      <c r="L155" s="3" t="s">
        <v>715</v>
      </c>
      <c r="M155" s="3"/>
      <c r="N155" s="3"/>
      <c r="O155" s="3"/>
      <c r="P155" s="3"/>
      <c r="Q155" s="3"/>
      <c r="R155" s="3"/>
      <c r="S155" s="3"/>
      <c r="T155" s="3"/>
      <c r="U155" s="3"/>
      <c r="V155" s="3"/>
      <c r="W155" s="3"/>
      <c r="X155" s="3"/>
      <c r="Y155" s="3"/>
      <c r="Z155" s="3"/>
      <c r="AA155" s="3"/>
    </row>
    <row r="156" spans="1:27">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row>
    <row r="157" spans="1:27">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row>
    <row r="158" spans="1:27">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row>
    <row r="159" spans="1:27">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row>
    <row r="160" spans="1:27">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row>
    <row r="161" spans="1:27">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row>
    <row r="162" spans="1:27">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row>
    <row r="163" spans="1:27">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row>
    <row r="164" spans="1:27">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row>
    <row r="165" spans="1:27">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row>
    <row r="166" spans="1:27">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row>
    <row r="167" spans="1:27">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row>
    <row r="168" spans="1:27">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row>
    <row r="169" spans="1:27">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row>
    <row r="170" spans="1:27">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row>
    <row r="171" spans="1:27">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row>
    <row r="172" spans="1:27">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row>
    <row r="173" spans="1:27">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row>
    <row r="174" spans="1:27">
      <c r="C174" s="135"/>
      <c r="D174" s="135"/>
      <c r="E174" s="135"/>
      <c r="F174" s="135"/>
      <c r="G174" s="135"/>
      <c r="H174" s="135"/>
      <c r="I174" s="135"/>
      <c r="J174" s="135"/>
      <c r="K174" s="135"/>
      <c r="L174" s="135"/>
      <c r="M174" s="135"/>
    </row>
    <row r="175" spans="1:27">
      <c r="C175" s="135"/>
      <c r="D175" s="135"/>
      <c r="E175" s="135"/>
      <c r="F175" s="135"/>
      <c r="G175" s="135"/>
      <c r="H175" s="135"/>
      <c r="I175" s="135"/>
      <c r="J175" s="135"/>
      <c r="K175" s="135"/>
      <c r="L175" s="135"/>
      <c r="M175" s="135"/>
    </row>
    <row r="176" spans="1:27">
      <c r="C176" s="135"/>
      <c r="D176" s="135"/>
      <c r="E176" s="135"/>
      <c r="F176" s="135"/>
      <c r="G176" s="135"/>
      <c r="H176" s="135"/>
      <c r="I176" s="135"/>
      <c r="J176" s="135"/>
      <c r="K176" s="135"/>
      <c r="L176" s="135"/>
      <c r="M176" s="135"/>
    </row>
    <row r="177" spans="3:13">
      <c r="C177" s="135"/>
      <c r="D177" s="135"/>
      <c r="E177" s="135"/>
      <c r="F177" s="135"/>
      <c r="G177" s="135"/>
      <c r="H177" s="135"/>
      <c r="I177" s="135"/>
      <c r="J177" s="135"/>
      <c r="K177" s="135"/>
      <c r="L177" s="135"/>
      <c r="M177" s="135"/>
    </row>
    <row r="178" spans="3:13">
      <c r="C178" s="135"/>
      <c r="D178" s="135"/>
      <c r="E178" s="135"/>
      <c r="F178" s="135"/>
      <c r="G178" s="135"/>
      <c r="H178" s="135"/>
      <c r="I178" s="135"/>
      <c r="J178" s="135"/>
      <c r="K178" s="135"/>
      <c r="L178" s="135"/>
      <c r="M178" s="135"/>
    </row>
    <row r="179" spans="3:13">
      <c r="C179" s="135"/>
      <c r="D179" s="135"/>
      <c r="E179" s="135"/>
      <c r="F179" s="135"/>
      <c r="G179" s="135"/>
      <c r="H179" s="135"/>
      <c r="I179" s="135"/>
      <c r="J179" s="135"/>
      <c r="K179" s="135"/>
      <c r="L179" s="135"/>
      <c r="M179" s="135"/>
    </row>
    <row r="180" spans="3:13">
      <c r="C180" s="135"/>
      <c r="D180" s="135"/>
      <c r="E180" s="135"/>
      <c r="F180" s="135"/>
      <c r="G180" s="135"/>
      <c r="H180" s="135"/>
      <c r="I180" s="135"/>
      <c r="J180" s="135"/>
      <c r="K180" s="135"/>
      <c r="L180" s="135"/>
      <c r="M180" s="135"/>
    </row>
    <row r="181" spans="3:13">
      <c r="C181" s="135"/>
      <c r="D181" s="135"/>
      <c r="E181" s="135"/>
      <c r="F181" s="135"/>
      <c r="G181" s="135"/>
      <c r="H181" s="135"/>
      <c r="I181" s="135"/>
      <c r="J181" s="135"/>
      <c r="K181" s="135"/>
      <c r="L181" s="135"/>
      <c r="M181" s="135"/>
    </row>
  </sheetData>
  <mergeCells count="1">
    <mergeCell ref="C8:G8"/>
  </mergeCells>
  <phoneticPr fontId="26" type="noConversion"/>
  <hyperlinks>
    <hyperlink ref="C8" r:id="rId1" display="Block Diagram (details on GitHub):" xr:uid="{FA8A6F6B-F0AC-49C2-8E29-C7A18B462D4A}"/>
    <hyperlink ref="C8:E8" r:id="rId2" display="Block Diagram (GitHub link - click for details):" xr:uid="{D6330E49-482B-42F4-A178-B896AD9099AB}"/>
  </hyperlinks>
  <pageMargins left="0.75" right="0.75" top="1" bottom="1" header="0.5" footer="0.5"/>
  <pageSetup paperSize="9" scale="32" orientation="portrait" r:id="rId3"/>
  <headerFooter alignWithMargins="0"/>
  <drawing r:id="rId4"/>
  <legacyDrawing r:id="rId5"/>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tabColor indexed="51"/>
  </sheetPr>
  <dimension ref="A1:Z121"/>
  <sheetViews>
    <sheetView zoomScale="120" zoomScaleNormal="120" workbookViewId="0">
      <selection activeCell="E3" sqref="E3"/>
    </sheetView>
  </sheetViews>
  <sheetFormatPr defaultColWidth="8.81640625" defaultRowHeight="12.5"/>
  <cols>
    <col min="5" max="5" width="10.1796875" customWidth="1"/>
    <col min="6" max="6" width="9.81640625" customWidth="1"/>
    <col min="7" max="7" width="10.81640625" customWidth="1"/>
    <col min="10" max="10" width="11.453125" customWidth="1"/>
    <col min="11" max="11" width="10.453125" customWidth="1"/>
    <col min="14" max="14" width="11.453125" customWidth="1"/>
    <col min="16" max="16" width="10.81640625" customWidth="1"/>
    <col min="17" max="17" width="9.453125" bestFit="1" customWidth="1"/>
    <col min="19" max="19" width="9.453125" customWidth="1"/>
    <col min="21" max="21" width="9.453125" bestFit="1" customWidth="1"/>
    <col min="22" max="22" width="10" customWidth="1"/>
  </cols>
  <sheetData>
    <row r="1" spans="1:26" ht="18.5" thickBot="1">
      <c r="A1" s="125" t="s">
        <v>275</v>
      </c>
      <c r="B1" s="125"/>
      <c r="C1" s="125"/>
      <c r="D1" s="125"/>
      <c r="E1" s="127"/>
      <c r="F1" s="127"/>
      <c r="G1" s="613" t="str">
        <f>'Title Page'!F3</f>
        <v>OreSat - CS0</v>
      </c>
      <c r="H1" s="127"/>
      <c r="I1" s="127"/>
      <c r="J1" s="127"/>
      <c r="K1" s="127"/>
      <c r="L1" s="610" t="str">
        <f>'Title Page'!F23</f>
        <v>2019 June 21</v>
      </c>
      <c r="M1" s="127"/>
      <c r="N1" s="127"/>
      <c r="O1" s="127"/>
      <c r="P1" s="127"/>
      <c r="Q1" s="127"/>
      <c r="R1" s="127"/>
      <c r="S1" s="127"/>
      <c r="T1" s="127"/>
      <c r="U1" s="127"/>
      <c r="V1" s="127"/>
      <c r="W1" s="127"/>
      <c r="X1" s="127"/>
      <c r="Y1" s="127"/>
      <c r="Z1" s="127"/>
    </row>
    <row r="2" spans="1:26">
      <c r="A2" s="3"/>
      <c r="B2" s="3"/>
      <c r="C2" s="3"/>
      <c r="D2" s="3"/>
      <c r="E2" s="3"/>
      <c r="F2" s="3"/>
      <c r="G2" s="3"/>
      <c r="H2" s="3"/>
      <c r="I2" s="3"/>
      <c r="J2" s="3"/>
      <c r="K2" s="3"/>
      <c r="L2" s="3"/>
      <c r="M2" s="3"/>
      <c r="N2" s="3"/>
      <c r="O2" s="3"/>
      <c r="P2" s="3"/>
      <c r="Q2" s="3"/>
      <c r="R2" s="3"/>
      <c r="S2" s="3"/>
      <c r="T2" s="3"/>
      <c r="U2" s="3"/>
      <c r="V2" s="3"/>
      <c r="W2" s="3"/>
      <c r="X2" s="3"/>
      <c r="Y2" s="3"/>
      <c r="Z2" s="3"/>
    </row>
    <row r="3" spans="1:26" ht="15.5">
      <c r="A3" s="188" t="s">
        <v>57</v>
      </c>
      <c r="B3" s="189"/>
      <c r="C3" s="190"/>
      <c r="D3" s="3"/>
      <c r="E3" s="466"/>
      <c r="F3" s="3"/>
      <c r="G3" s="3"/>
      <c r="H3" s="3"/>
      <c r="I3" s="3"/>
      <c r="J3" s="466" t="s">
        <v>715</v>
      </c>
      <c r="K3" s="3"/>
      <c r="L3" s="3"/>
      <c r="M3" s="3"/>
      <c r="N3" s="3"/>
      <c r="O3" s="3"/>
      <c r="P3" s="3"/>
      <c r="Q3" s="3"/>
      <c r="R3" s="3"/>
      <c r="S3" s="3"/>
      <c r="T3" s="3"/>
      <c r="U3" s="3"/>
      <c r="V3" s="3"/>
      <c r="W3" s="3"/>
      <c r="X3" s="3"/>
      <c r="Y3" s="3"/>
      <c r="Z3" s="3"/>
    </row>
    <row r="4" spans="1:26" ht="15.5">
      <c r="A4" s="210"/>
      <c r="B4" s="101"/>
      <c r="C4" s="101"/>
      <c r="D4" s="3"/>
      <c r="E4" s="466"/>
      <c r="F4" s="3"/>
      <c r="G4" s="3"/>
      <c r="H4" s="3"/>
      <c r="I4" s="3"/>
      <c r="J4" s="466"/>
      <c r="K4" s="3"/>
      <c r="L4" s="3"/>
      <c r="M4" s="3"/>
      <c r="N4" s="3"/>
      <c r="O4" s="3"/>
      <c r="P4" s="3"/>
      <c r="Q4" s="3"/>
      <c r="R4" s="3"/>
      <c r="S4" s="3"/>
      <c r="T4" s="3"/>
      <c r="U4" s="3"/>
      <c r="V4" s="3"/>
      <c r="W4" s="3"/>
      <c r="X4" s="3"/>
      <c r="Y4" s="3"/>
      <c r="Z4" s="3"/>
    </row>
    <row r="5" spans="1:26" ht="15.5">
      <c r="A5" s="210"/>
      <c r="B5" s="345" t="s">
        <v>234</v>
      </c>
      <c r="C5" s="101"/>
      <c r="D5" s="3"/>
      <c r="E5" s="466"/>
      <c r="F5" s="3"/>
      <c r="G5" s="3"/>
      <c r="H5" s="3"/>
      <c r="I5" s="3"/>
      <c r="J5" s="466"/>
      <c r="K5" s="3"/>
      <c r="L5" s="3"/>
      <c r="M5" s="3"/>
      <c r="N5" s="3"/>
      <c r="O5" s="3"/>
      <c r="P5" s="3"/>
      <c r="Q5" s="3"/>
      <c r="R5" s="3"/>
      <c r="S5" s="3"/>
      <c r="T5" s="3"/>
      <c r="U5" s="3"/>
      <c r="V5" s="3"/>
      <c r="W5" s="3"/>
      <c r="X5" s="3"/>
      <c r="Y5" s="3"/>
      <c r="Z5" s="3"/>
    </row>
    <row r="6" spans="1:26" ht="16" thickBot="1">
      <c r="A6" s="210"/>
      <c r="B6" s="101"/>
      <c r="C6" s="101"/>
      <c r="D6" s="3"/>
      <c r="E6" s="3"/>
      <c r="F6" s="3"/>
      <c r="G6" s="3"/>
      <c r="H6" s="3"/>
      <c r="I6" s="3"/>
      <c r="J6" s="3"/>
      <c r="K6" s="3"/>
      <c r="L6" s="3"/>
      <c r="M6" s="3"/>
      <c r="N6" s="3"/>
      <c r="O6" s="3"/>
      <c r="P6" s="3"/>
      <c r="Q6" s="3"/>
      <c r="R6" s="3"/>
      <c r="S6" s="3"/>
      <c r="T6" s="3"/>
      <c r="U6" s="3"/>
      <c r="V6" s="3"/>
      <c r="W6" s="3"/>
      <c r="X6" s="3"/>
      <c r="Y6" s="3"/>
      <c r="Z6" s="3"/>
    </row>
    <row r="7" spans="1:26" ht="16" thickBot="1">
      <c r="A7" s="136" t="s">
        <v>715</v>
      </c>
      <c r="B7" s="187" t="s">
        <v>94</v>
      </c>
      <c r="C7" s="193"/>
      <c r="D7" s="180"/>
      <c r="E7" s="180"/>
      <c r="F7" s="180"/>
      <c r="G7" s="180" t="s">
        <v>715</v>
      </c>
      <c r="H7" s="180"/>
      <c r="I7" s="180"/>
      <c r="J7" s="180" t="s">
        <v>715</v>
      </c>
      <c r="K7" s="180"/>
      <c r="L7" s="181"/>
      <c r="M7" s="3"/>
      <c r="N7" s="3"/>
      <c r="O7" s="3"/>
      <c r="P7" s="3"/>
      <c r="Q7" s="3"/>
      <c r="R7" s="3"/>
      <c r="S7" s="3"/>
      <c r="T7" s="3"/>
      <c r="U7" s="3"/>
      <c r="V7" s="3"/>
      <c r="W7" s="3"/>
      <c r="X7" s="3"/>
      <c r="Y7" s="3"/>
      <c r="Z7" s="3"/>
    </row>
    <row r="8" spans="1:26" ht="13">
      <c r="A8" s="3"/>
      <c r="B8" s="178" t="s">
        <v>715</v>
      </c>
      <c r="C8" s="211"/>
      <c r="D8" s="213" t="s">
        <v>104</v>
      </c>
      <c r="E8" s="212" t="s">
        <v>753</v>
      </c>
      <c r="F8" s="243">
        <f>Frequency!M10</f>
        <v>436.5</v>
      </c>
      <c r="G8" s="141" t="s">
        <v>754</v>
      </c>
      <c r="H8" s="141"/>
      <c r="I8" s="141"/>
      <c r="J8" s="141" t="s">
        <v>87</v>
      </c>
      <c r="K8" s="244">
        <f>299.8/$F$8</f>
        <v>0.6868270332187858</v>
      </c>
      <c r="L8" s="182" t="s">
        <v>755</v>
      </c>
      <c r="M8" s="3"/>
      <c r="N8" s="3"/>
      <c r="O8" s="3"/>
      <c r="P8" s="3"/>
      <c r="Q8" s="3"/>
      <c r="R8" s="3"/>
      <c r="S8" s="3"/>
      <c r="T8" s="3"/>
      <c r="U8" s="3"/>
      <c r="V8" s="3"/>
      <c r="W8" s="3"/>
      <c r="X8" s="3"/>
      <c r="Y8" s="3"/>
      <c r="Z8" s="3"/>
    </row>
    <row r="9" spans="1:26">
      <c r="A9" s="3"/>
      <c r="B9" s="177"/>
      <c r="C9" s="141"/>
      <c r="D9" s="141"/>
      <c r="E9" s="141"/>
      <c r="F9" s="141"/>
      <c r="G9" s="141"/>
      <c r="H9" s="141"/>
      <c r="I9" s="141"/>
      <c r="J9" s="141"/>
      <c r="K9" s="141"/>
      <c r="L9" s="182"/>
      <c r="M9" s="3"/>
      <c r="N9" s="3"/>
      <c r="O9" s="3"/>
      <c r="P9" s="3"/>
      <c r="Q9" s="3"/>
      <c r="R9" s="3"/>
      <c r="S9" s="3"/>
      <c r="T9" s="3"/>
      <c r="U9" s="3"/>
      <c r="V9" s="3"/>
      <c r="W9" s="3"/>
      <c r="X9" s="3"/>
      <c r="Y9" s="3"/>
      <c r="Z9" s="3"/>
    </row>
    <row r="10" spans="1:26" ht="13" thickBot="1">
      <c r="A10" s="79"/>
      <c r="B10" s="177"/>
      <c r="C10" s="141"/>
      <c r="D10" s="141"/>
      <c r="E10" s="141"/>
      <c r="F10" s="199" t="s">
        <v>107</v>
      </c>
      <c r="G10" s="141"/>
      <c r="H10" s="141"/>
      <c r="I10" s="141"/>
      <c r="J10" s="141"/>
      <c r="K10" s="141"/>
      <c r="L10" s="182"/>
      <c r="M10" s="3"/>
      <c r="N10" s="3"/>
      <c r="O10" s="3"/>
      <c r="P10" s="3"/>
      <c r="Q10" s="232" t="s">
        <v>715</v>
      </c>
      <c r="R10" s="3"/>
      <c r="S10" s="3"/>
      <c r="T10" s="3"/>
      <c r="U10" s="3"/>
      <c r="V10" s="3"/>
      <c r="W10" s="3"/>
      <c r="X10" s="3"/>
      <c r="Y10" s="3"/>
      <c r="Z10" s="3"/>
    </row>
    <row r="11" spans="1:26" ht="13.5" thickBot="1">
      <c r="A11" s="79"/>
      <c r="B11" s="178" t="s">
        <v>715</v>
      </c>
      <c r="C11" s="141"/>
      <c r="D11" s="141"/>
      <c r="E11" s="645">
        <v>4</v>
      </c>
      <c r="F11" s="644" t="str">
        <f>INDEX(B13:B16,E11,1)</f>
        <v>Crossed Yagi</v>
      </c>
      <c r="G11" s="185"/>
      <c r="H11" s="141"/>
      <c r="I11" s="141"/>
      <c r="J11" s="141" t="s">
        <v>60</v>
      </c>
      <c r="K11" s="264" t="s">
        <v>62</v>
      </c>
      <c r="L11" s="182"/>
      <c r="M11" s="3"/>
      <c r="N11" s="3"/>
      <c r="O11" s="3"/>
      <c r="P11" s="3"/>
      <c r="Q11" s="3"/>
      <c r="R11" s="3"/>
      <c r="S11" s="3"/>
      <c r="T11" s="3"/>
      <c r="U11" s="3"/>
      <c r="V11" s="3"/>
      <c r="W11" s="3"/>
      <c r="X11" s="3"/>
      <c r="Y11" s="3"/>
      <c r="Z11" s="3"/>
    </row>
    <row r="12" spans="1:26" ht="13" thickBot="1">
      <c r="A12" s="215" t="s">
        <v>106</v>
      </c>
      <c r="B12" s="179"/>
      <c r="C12" s="146"/>
      <c r="D12" s="146"/>
      <c r="E12" s="146"/>
      <c r="F12" s="146"/>
      <c r="G12" s="146"/>
      <c r="H12" s="146"/>
      <c r="I12" s="146"/>
      <c r="J12" s="146"/>
      <c r="K12" s="146"/>
      <c r="L12" s="183"/>
      <c r="M12" s="3"/>
      <c r="N12" s="3"/>
      <c r="O12" s="3"/>
      <c r="P12" s="3"/>
      <c r="Q12" s="3"/>
      <c r="R12" s="3"/>
      <c r="S12" s="3"/>
      <c r="T12" s="3"/>
      <c r="U12" s="3"/>
      <c r="V12" s="3"/>
      <c r="W12" s="3"/>
      <c r="X12" s="3"/>
      <c r="Y12" s="3"/>
      <c r="Z12" s="3"/>
    </row>
    <row r="13" spans="1:26" ht="36" customHeight="1">
      <c r="A13" s="176">
        <v>1</v>
      </c>
      <c r="B13" s="171" t="s">
        <v>77</v>
      </c>
      <c r="C13" s="171"/>
      <c r="D13" s="172" t="s">
        <v>73</v>
      </c>
      <c r="E13" s="173">
        <v>3.2</v>
      </c>
      <c r="F13" s="171"/>
      <c r="G13" s="172" t="s">
        <v>75</v>
      </c>
      <c r="H13" s="174">
        <f>IF(E13&lt;$B$72,"too short!",INDEX($D$72:$D$110,MATCH(E13,$B$72:$B$110,1),1))</f>
        <v>12</v>
      </c>
      <c r="I13" s="171" t="s">
        <v>74</v>
      </c>
      <c r="J13" s="175" t="s">
        <v>86</v>
      </c>
      <c r="K13" s="171"/>
      <c r="L13" s="171"/>
      <c r="M13" s="152" t="s">
        <v>76</v>
      </c>
      <c r="N13" s="153">
        <f>IF(E13&lt;$B$72,"too short!",INDEX($F$72:$F$110,MATCH(E13,$B$72:$B$110,1),1))</f>
        <v>16.3</v>
      </c>
      <c r="O13" s="151" t="s">
        <v>784</v>
      </c>
      <c r="P13" s="151" t="s">
        <v>61</v>
      </c>
      <c r="Q13" s="154">
        <f>SQRT(40000/(10^(N13/10)))</f>
        <v>30.621749233640596</v>
      </c>
      <c r="R13" s="151" t="s">
        <v>4</v>
      </c>
      <c r="S13" s="151" t="s">
        <v>245</v>
      </c>
      <c r="T13" s="151"/>
      <c r="U13" s="155">
        <f>K8*E13</f>
        <v>2.1978465063001145</v>
      </c>
      <c r="V13" s="156" t="s">
        <v>755</v>
      </c>
      <c r="W13" s="3"/>
      <c r="X13" s="3"/>
      <c r="Y13" s="3"/>
      <c r="Z13" s="3"/>
    </row>
    <row r="14" spans="1:26" ht="36" customHeight="1">
      <c r="A14" s="157">
        <v>2</v>
      </c>
      <c r="B14" s="158" t="s">
        <v>91</v>
      </c>
      <c r="C14" s="158"/>
      <c r="D14" s="158" t="s">
        <v>65</v>
      </c>
      <c r="E14" s="159">
        <v>10</v>
      </c>
      <c r="F14" s="158"/>
      <c r="G14" s="160" t="s">
        <v>66</v>
      </c>
      <c r="H14" s="159">
        <v>0.25</v>
      </c>
      <c r="I14" s="158"/>
      <c r="J14" s="160" t="s">
        <v>64</v>
      </c>
      <c r="K14" s="161">
        <v>1</v>
      </c>
      <c r="L14" s="158"/>
      <c r="M14" s="158" t="s">
        <v>59</v>
      </c>
      <c r="N14" s="162">
        <f>10*LOG10(15*K14^2*E14*H14)</f>
        <v>15.740312677277188</v>
      </c>
      <c r="O14" s="158" t="s">
        <v>784</v>
      </c>
      <c r="P14" s="158" t="s">
        <v>61</v>
      </c>
      <c r="Q14" s="163">
        <f>52.2/(K14*((E14*H14)^0.5))</f>
        <v>33.014178772157877</v>
      </c>
      <c r="R14" s="158" t="s">
        <v>4</v>
      </c>
      <c r="S14" s="160"/>
      <c r="T14" s="160" t="s">
        <v>244</v>
      </c>
      <c r="U14" s="375">
        <f>H14*E14*K8</f>
        <v>1.7170675830469646</v>
      </c>
      <c r="V14" s="164" t="s">
        <v>755</v>
      </c>
      <c r="W14" s="3"/>
      <c r="X14" s="3"/>
      <c r="Y14" s="3"/>
      <c r="Z14" s="3"/>
    </row>
    <row r="15" spans="1:26" ht="36" customHeight="1">
      <c r="A15" s="165">
        <v>3</v>
      </c>
      <c r="B15" s="166" t="s">
        <v>92</v>
      </c>
      <c r="C15" s="166"/>
      <c r="D15" s="166"/>
      <c r="E15" s="166"/>
      <c r="F15" s="166"/>
      <c r="G15" s="167" t="s">
        <v>58</v>
      </c>
      <c r="H15" s="168">
        <v>5.4</v>
      </c>
      <c r="I15" s="166"/>
      <c r="J15" s="167" t="s">
        <v>52</v>
      </c>
      <c r="K15" s="169">
        <v>0.55000000000000004</v>
      </c>
      <c r="L15" s="166"/>
      <c r="M15" s="166" t="s">
        <v>59</v>
      </c>
      <c r="N15" s="162">
        <f>20.4+20*LOG10(H15)+20*LOG10(F8/1000)+10*LOG10(K15)</f>
        <v>25.251187052233579</v>
      </c>
      <c r="O15" s="166" t="s">
        <v>784</v>
      </c>
      <c r="P15" s="166" t="s">
        <v>61</v>
      </c>
      <c r="Q15" s="163">
        <f>21/((F8/1000)*H15)</f>
        <v>8.9092528955071906</v>
      </c>
      <c r="R15" s="166" t="s">
        <v>4</v>
      </c>
      <c r="S15" s="166"/>
      <c r="T15" s="166"/>
      <c r="U15" s="166"/>
      <c r="V15" s="170"/>
      <c r="W15" s="3"/>
      <c r="X15" s="3"/>
      <c r="Y15" s="3"/>
      <c r="Z15" s="3"/>
    </row>
    <row r="16" spans="1:26" ht="36" customHeight="1" thickBot="1">
      <c r="A16" s="145">
        <v>4</v>
      </c>
      <c r="B16" s="146" t="s">
        <v>944</v>
      </c>
      <c r="C16" s="146"/>
      <c r="D16" s="146"/>
      <c r="E16" s="624" t="s">
        <v>945</v>
      </c>
      <c r="F16" s="890"/>
      <c r="G16" s="624" t="s">
        <v>946</v>
      </c>
      <c r="H16" s="899"/>
      <c r="I16" s="899"/>
      <c r="J16" s="899"/>
      <c r="K16" s="147"/>
      <c r="L16" s="146"/>
      <c r="M16" s="146" t="s">
        <v>59</v>
      </c>
      <c r="N16" s="646">
        <v>15.5</v>
      </c>
      <c r="O16" s="146" t="s">
        <v>784</v>
      </c>
      <c r="P16" s="146" t="s">
        <v>61</v>
      </c>
      <c r="Q16" s="647">
        <v>30</v>
      </c>
      <c r="R16" s="146" t="s">
        <v>4</v>
      </c>
      <c r="S16" s="146" t="s">
        <v>245</v>
      </c>
      <c r="T16" s="146"/>
      <c r="U16" s="682">
        <v>2.97</v>
      </c>
      <c r="V16" s="150" t="s">
        <v>755</v>
      </c>
      <c r="W16" s="3"/>
      <c r="X16" s="3"/>
      <c r="Y16" s="3"/>
      <c r="Z16" s="3"/>
    </row>
    <row r="17" spans="1:26">
      <c r="A17" s="31"/>
      <c r="B17" s="101"/>
      <c r="C17" s="101"/>
      <c r="D17" s="101"/>
      <c r="E17" s="101"/>
      <c r="F17" s="101"/>
      <c r="G17" s="101"/>
      <c r="H17" s="101"/>
      <c r="I17" s="101"/>
      <c r="J17" s="101"/>
      <c r="K17" s="101"/>
      <c r="L17" s="101"/>
      <c r="M17" s="101"/>
      <c r="N17" s="101"/>
      <c r="O17" s="101"/>
      <c r="P17" s="101"/>
      <c r="Q17" s="101"/>
      <c r="R17" s="101"/>
      <c r="S17" s="101"/>
      <c r="T17" s="101"/>
      <c r="U17" s="3"/>
      <c r="V17" s="3"/>
      <c r="W17" s="3"/>
      <c r="X17" s="3"/>
      <c r="Y17" s="3"/>
      <c r="Z17" s="3"/>
    </row>
    <row r="18" spans="1:26">
      <c r="A18" s="31"/>
      <c r="B18" s="101"/>
      <c r="C18" s="101"/>
      <c r="D18" s="101"/>
      <c r="E18" s="101"/>
      <c r="F18" s="101" t="s">
        <v>715</v>
      </c>
      <c r="G18" s="101"/>
      <c r="H18" s="101"/>
      <c r="I18" s="101"/>
      <c r="J18" s="101"/>
      <c r="K18" s="101"/>
      <c r="L18" s="101"/>
      <c r="M18" s="101" t="s">
        <v>715</v>
      </c>
      <c r="N18" s="101"/>
      <c r="O18" s="101"/>
      <c r="P18" s="101"/>
      <c r="Q18" s="101"/>
      <c r="R18" s="101"/>
      <c r="S18" s="101"/>
      <c r="T18" s="101"/>
      <c r="U18" s="3"/>
      <c r="V18" s="3"/>
      <c r="W18" s="3"/>
      <c r="X18" s="3"/>
      <c r="Y18" s="3"/>
      <c r="Z18" s="3"/>
    </row>
    <row r="19" spans="1:26">
      <c r="A19" s="31" t="s">
        <v>715</v>
      </c>
      <c r="B19" s="101"/>
      <c r="C19" s="101"/>
      <c r="D19" s="101"/>
      <c r="E19" s="101"/>
      <c r="F19" s="101"/>
      <c r="G19" s="101"/>
      <c r="H19" s="101"/>
      <c r="I19" s="101"/>
      <c r="J19" s="101"/>
      <c r="K19" s="101"/>
      <c r="L19" s="101"/>
      <c r="M19" s="101"/>
      <c r="N19" s="101"/>
      <c r="O19" s="101"/>
      <c r="P19" s="101"/>
      <c r="Q19" s="101"/>
      <c r="R19" s="101"/>
      <c r="S19" s="101"/>
      <c r="T19" s="101"/>
      <c r="U19" s="3"/>
      <c r="V19" s="3"/>
      <c r="W19" s="3"/>
      <c r="X19" s="3"/>
      <c r="Y19" s="3"/>
      <c r="Z19" s="3"/>
    </row>
    <row r="20" spans="1:26" ht="13" thickBot="1">
      <c r="A20" s="31"/>
      <c r="B20" s="101"/>
      <c r="C20" s="101"/>
      <c r="D20" s="101"/>
      <c r="E20" s="101"/>
      <c r="F20" s="101"/>
      <c r="G20" s="101"/>
      <c r="H20" s="101"/>
      <c r="I20" s="101"/>
      <c r="J20" s="101"/>
      <c r="K20" s="101"/>
      <c r="L20" s="101"/>
      <c r="M20" s="101"/>
      <c r="N20" s="101"/>
      <c r="O20" s="101"/>
      <c r="P20" s="101"/>
      <c r="Q20" s="101"/>
      <c r="R20" s="101"/>
      <c r="S20" s="101"/>
      <c r="T20" s="101"/>
      <c r="U20" s="3"/>
      <c r="V20" s="3"/>
      <c r="W20" s="3"/>
      <c r="X20" s="3"/>
      <c r="Y20" s="3"/>
      <c r="Z20" s="3"/>
    </row>
    <row r="21" spans="1:26" ht="13.5" thickBot="1">
      <c r="A21" s="31"/>
      <c r="B21" s="187" t="s">
        <v>103</v>
      </c>
      <c r="C21" s="193"/>
      <c r="D21" s="180"/>
      <c r="E21" s="180"/>
      <c r="F21" s="180"/>
      <c r="G21" s="180"/>
      <c r="H21" s="180"/>
      <c r="I21" s="180"/>
      <c r="J21" s="180"/>
      <c r="K21" s="180"/>
      <c r="L21" s="181"/>
      <c r="M21" s="101"/>
      <c r="N21" s="101"/>
      <c r="O21" s="101"/>
      <c r="P21" s="101"/>
      <c r="Q21" s="101"/>
      <c r="R21" s="101"/>
      <c r="S21" s="101"/>
      <c r="T21" s="101"/>
      <c r="U21" s="3"/>
      <c r="V21" s="3"/>
      <c r="W21" s="3"/>
      <c r="X21" s="3"/>
      <c r="Y21" s="3"/>
      <c r="Z21" s="3"/>
    </row>
    <row r="22" spans="1:26">
      <c r="A22" s="31"/>
      <c r="B22" s="177"/>
      <c r="C22" s="141"/>
      <c r="D22" s="142" t="s">
        <v>104</v>
      </c>
      <c r="E22" s="141" t="s">
        <v>753</v>
      </c>
      <c r="F22" s="241">
        <f>F8</f>
        <v>436.5</v>
      </c>
      <c r="G22" s="141" t="s">
        <v>754</v>
      </c>
      <c r="H22" s="141"/>
      <c r="I22" s="141"/>
      <c r="J22" s="141" t="s">
        <v>87</v>
      </c>
      <c r="K22" s="242">
        <f>299.8/F22</f>
        <v>0.6868270332187858</v>
      </c>
      <c r="L22" s="182" t="s">
        <v>755</v>
      </c>
      <c r="M22" s="101" t="s">
        <v>715</v>
      </c>
      <c r="N22" s="101"/>
      <c r="O22" s="101"/>
      <c r="P22" s="101"/>
      <c r="Q22" s="101"/>
      <c r="R22" s="101"/>
      <c r="S22" s="101"/>
      <c r="T22" s="101"/>
      <c r="U22" s="101"/>
      <c r="V22" s="101"/>
      <c r="W22" s="3"/>
      <c r="X22" s="3"/>
      <c r="Y22" s="3"/>
      <c r="Z22" s="3"/>
    </row>
    <row r="23" spans="1:26" ht="13" thickBot="1">
      <c r="A23" s="79"/>
      <c r="B23" s="177"/>
      <c r="C23" s="141"/>
      <c r="D23" s="141" t="s">
        <v>715</v>
      </c>
      <c r="E23" s="141" t="s">
        <v>715</v>
      </c>
      <c r="F23" s="199" t="s">
        <v>872</v>
      </c>
      <c r="G23" s="141"/>
      <c r="H23" s="141"/>
      <c r="I23" s="141"/>
      <c r="J23" s="141"/>
      <c r="K23" s="141"/>
      <c r="L23" s="182"/>
      <c r="M23" s="3"/>
      <c r="N23" s="3"/>
      <c r="O23" s="3"/>
      <c r="P23" s="3"/>
      <c r="Q23" s="3"/>
      <c r="R23" s="3"/>
      <c r="S23" s="3"/>
      <c r="T23" s="3"/>
      <c r="U23" s="3"/>
      <c r="V23" s="3"/>
      <c r="W23" s="3"/>
      <c r="X23" s="3"/>
      <c r="Y23" s="3"/>
      <c r="Z23" s="3"/>
    </row>
    <row r="24" spans="1:26" ht="13.5" thickBot="1">
      <c r="A24" s="79"/>
      <c r="B24" s="178" t="s">
        <v>715</v>
      </c>
      <c r="C24" s="141"/>
      <c r="D24" s="141"/>
      <c r="E24" s="645">
        <v>7</v>
      </c>
      <c r="F24" s="315" t="str">
        <f>INDEX(B26:B32,E24,1)</f>
        <v>Canted Turnstyle (back)</v>
      </c>
      <c r="G24" s="185"/>
      <c r="H24" s="141"/>
      <c r="I24" s="141"/>
      <c r="J24" s="141" t="s">
        <v>60</v>
      </c>
      <c r="K24" s="264" t="s">
        <v>62</v>
      </c>
      <c r="L24" s="182"/>
      <c r="M24" s="3"/>
      <c r="N24" s="3"/>
      <c r="O24" s="3"/>
      <c r="P24" s="3"/>
      <c r="Q24" s="3"/>
      <c r="R24" s="3"/>
      <c r="S24" s="3"/>
      <c r="T24" s="3"/>
      <c r="U24" s="3"/>
      <c r="V24" s="3"/>
      <c r="W24" s="3"/>
      <c r="X24" s="3"/>
      <c r="Y24" s="3"/>
      <c r="Z24" s="3"/>
    </row>
    <row r="25" spans="1:26" ht="13" thickBot="1">
      <c r="A25" s="214" t="s">
        <v>106</v>
      </c>
      <c r="B25" s="177"/>
      <c r="C25" s="141"/>
      <c r="D25" s="141"/>
      <c r="E25" s="141"/>
      <c r="F25" s="141" t="s">
        <v>715</v>
      </c>
      <c r="G25" s="141"/>
      <c r="H25" s="141"/>
      <c r="I25" s="141"/>
      <c r="J25" s="141"/>
      <c r="K25" s="141"/>
      <c r="L25" s="182"/>
      <c r="M25" s="3"/>
      <c r="N25" s="3"/>
      <c r="O25" s="3"/>
      <c r="P25" s="3"/>
      <c r="Q25" s="3"/>
      <c r="R25" s="3"/>
      <c r="S25" s="3"/>
      <c r="T25" s="3"/>
      <c r="U25" s="3"/>
      <c r="V25" s="3"/>
      <c r="W25" s="3"/>
      <c r="X25" s="3"/>
      <c r="Y25" s="3"/>
      <c r="Z25" s="3"/>
    </row>
    <row r="26" spans="1:26" ht="36" customHeight="1">
      <c r="A26" s="137">
        <v>1</v>
      </c>
      <c r="B26" s="138" t="s">
        <v>95</v>
      </c>
      <c r="C26" s="138"/>
      <c r="D26" s="138"/>
      <c r="E26" s="138"/>
      <c r="F26" s="138"/>
      <c r="G26" s="138" t="s">
        <v>59</v>
      </c>
      <c r="H26" s="198">
        <v>2.15</v>
      </c>
      <c r="I26" s="138" t="s">
        <v>63</v>
      </c>
      <c r="J26" s="138"/>
      <c r="K26" s="138" t="s">
        <v>61</v>
      </c>
      <c r="L26" s="198">
        <v>156.19999999999999</v>
      </c>
      <c r="M26" s="138" t="s">
        <v>4</v>
      </c>
      <c r="N26" s="138" t="s">
        <v>144</v>
      </c>
      <c r="O26" s="138"/>
      <c r="P26" s="138"/>
      <c r="Q26" s="138"/>
      <c r="R26" s="138"/>
      <c r="S26" s="138"/>
      <c r="T26" s="138"/>
      <c r="U26" s="138"/>
      <c r="V26" s="139"/>
      <c r="W26" s="3"/>
      <c r="X26" s="3"/>
      <c r="Y26" s="3"/>
      <c r="Z26" s="3"/>
    </row>
    <row r="27" spans="1:26" ht="36" customHeight="1">
      <c r="A27" s="140">
        <v>2</v>
      </c>
      <c r="B27" s="141" t="s">
        <v>96</v>
      </c>
      <c r="C27" s="141"/>
      <c r="D27" s="141"/>
      <c r="E27" s="141"/>
      <c r="F27" s="141"/>
      <c r="G27" s="141" t="s">
        <v>59</v>
      </c>
      <c r="H27" s="191">
        <v>2.15</v>
      </c>
      <c r="I27" s="141" t="s">
        <v>63</v>
      </c>
      <c r="J27" s="141"/>
      <c r="K27" s="141" t="s">
        <v>61</v>
      </c>
      <c r="L27" s="191">
        <v>156.19999999999999</v>
      </c>
      <c r="M27" s="141" t="s">
        <v>4</v>
      </c>
      <c r="N27" s="141" t="s">
        <v>70</v>
      </c>
      <c r="O27" s="141"/>
      <c r="P27" s="141"/>
      <c r="Q27" s="141"/>
      <c r="R27" s="141"/>
      <c r="S27" s="141"/>
      <c r="T27" s="141"/>
      <c r="U27" s="141"/>
      <c r="V27" s="143"/>
      <c r="W27" s="3"/>
      <c r="X27" s="3"/>
      <c r="Y27" s="3"/>
      <c r="Z27" s="3"/>
    </row>
    <row r="28" spans="1:26" ht="35.25" customHeight="1">
      <c r="A28" s="144">
        <v>3</v>
      </c>
      <c r="B28" s="98" t="s">
        <v>97</v>
      </c>
      <c r="C28" s="98"/>
      <c r="D28" s="98"/>
      <c r="E28" s="98"/>
      <c r="F28" s="98"/>
      <c r="G28" s="98" t="s">
        <v>59</v>
      </c>
      <c r="H28" s="194">
        <f>IF(K24=K11,2,0.5)</f>
        <v>2</v>
      </c>
      <c r="I28" s="98" t="s">
        <v>784</v>
      </c>
      <c r="J28" s="98" t="s">
        <v>72</v>
      </c>
      <c r="K28" s="98" t="s">
        <v>61</v>
      </c>
      <c r="L28" s="191">
        <v>180</v>
      </c>
      <c r="M28" s="98" t="s">
        <v>4</v>
      </c>
      <c r="N28" s="98" t="s">
        <v>71</v>
      </c>
      <c r="O28" s="98"/>
      <c r="P28" s="98"/>
      <c r="Q28" s="98"/>
      <c r="R28" s="838"/>
      <c r="S28" s="98"/>
      <c r="T28" s="98"/>
      <c r="U28" s="98"/>
      <c r="V28" s="99"/>
      <c r="W28" s="3"/>
      <c r="X28" s="3"/>
      <c r="Y28" s="3"/>
      <c r="Z28" s="3"/>
    </row>
    <row r="29" spans="1:26" ht="36" customHeight="1">
      <c r="A29" s="140">
        <v>4</v>
      </c>
      <c r="B29" s="141" t="s">
        <v>98</v>
      </c>
      <c r="C29" s="141"/>
      <c r="D29" s="192" t="s">
        <v>67</v>
      </c>
      <c r="E29" s="141" t="s">
        <v>68</v>
      </c>
      <c r="F29" s="141"/>
      <c r="G29" s="141" t="s">
        <v>59</v>
      </c>
      <c r="H29" s="194">
        <v>4</v>
      </c>
      <c r="I29" s="141" t="s">
        <v>784</v>
      </c>
      <c r="J29" s="141"/>
      <c r="K29" s="141" t="s">
        <v>61</v>
      </c>
      <c r="L29" s="191">
        <v>150</v>
      </c>
      <c r="M29" s="141" t="s">
        <v>4</v>
      </c>
      <c r="N29" s="141" t="s">
        <v>145</v>
      </c>
      <c r="O29" s="141"/>
      <c r="P29" s="141"/>
      <c r="Q29" s="141"/>
      <c r="R29" s="141"/>
      <c r="S29" s="141"/>
      <c r="T29" s="141"/>
      <c r="U29" s="141"/>
      <c r="V29" s="143"/>
      <c r="W29" s="3"/>
      <c r="X29" s="3"/>
      <c r="Y29" s="3"/>
      <c r="Z29" s="3"/>
    </row>
    <row r="30" spans="1:26" ht="36" customHeight="1" thickBot="1">
      <c r="A30" s="144">
        <v>5</v>
      </c>
      <c r="B30" s="98" t="s">
        <v>186</v>
      </c>
      <c r="C30" s="98"/>
      <c r="D30" s="655" t="s">
        <v>715</v>
      </c>
      <c r="E30" s="98"/>
      <c r="F30" s="98"/>
      <c r="G30" s="98" t="s">
        <v>59</v>
      </c>
      <c r="H30" s="656">
        <v>6</v>
      </c>
      <c r="I30" s="98" t="s">
        <v>368</v>
      </c>
      <c r="J30" s="98"/>
      <c r="K30" s="98" t="s">
        <v>61</v>
      </c>
      <c r="L30" s="657">
        <v>90</v>
      </c>
      <c r="M30" s="98" t="s">
        <v>4</v>
      </c>
      <c r="N30" s="98" t="s">
        <v>187</v>
      </c>
      <c r="O30" s="98"/>
      <c r="P30" s="98"/>
      <c r="Q30" s="98"/>
      <c r="R30" s="98"/>
      <c r="S30" s="98"/>
      <c r="T30" s="98"/>
      <c r="U30" s="98"/>
      <c r="V30" s="99"/>
      <c r="W30" s="3"/>
      <c r="X30" s="3"/>
      <c r="Y30" s="3"/>
      <c r="Z30" s="3"/>
    </row>
    <row r="31" spans="1:26" ht="36" customHeight="1" thickBot="1">
      <c r="A31" s="140">
        <v>6</v>
      </c>
      <c r="B31" s="141" t="s">
        <v>92</v>
      </c>
      <c r="C31" s="141"/>
      <c r="D31" s="658"/>
      <c r="E31" s="141"/>
      <c r="F31" s="141"/>
      <c r="G31" s="141" t="s">
        <v>59</v>
      </c>
      <c r="H31" s="660">
        <f>20.4+20*LOG10(T31)+20*LOG10(F8/1000)+10*LOG10(V31)</f>
        <v>25.251187052233579</v>
      </c>
      <c r="I31" s="141" t="s">
        <v>368</v>
      </c>
      <c r="J31" s="141"/>
      <c r="K31" s="141" t="s">
        <v>61</v>
      </c>
      <c r="L31" s="660">
        <f>21/((F8/1000)*T31)</f>
        <v>8.9092528955071906</v>
      </c>
      <c r="M31" s="141" t="s">
        <v>4</v>
      </c>
      <c r="N31" s="141" t="s">
        <v>188</v>
      </c>
      <c r="O31" s="141"/>
      <c r="P31" s="141"/>
      <c r="Q31" s="141"/>
      <c r="R31" s="141"/>
      <c r="S31" s="679" t="s">
        <v>647</v>
      </c>
      <c r="T31" s="676">
        <v>5.4</v>
      </c>
      <c r="U31" s="680" t="s">
        <v>648</v>
      </c>
      <c r="V31" s="677">
        <v>0.55000000000000004</v>
      </c>
      <c r="W31" s="3"/>
      <c r="X31" s="3"/>
      <c r="Y31" s="3"/>
      <c r="Z31" s="3"/>
    </row>
    <row r="32" spans="1:26" ht="36" customHeight="1" thickBot="1">
      <c r="A32" s="197">
        <v>7</v>
      </c>
      <c r="B32" s="195" t="s">
        <v>1076</v>
      </c>
      <c r="C32" s="195"/>
      <c r="D32" s="288"/>
      <c r="E32" s="195"/>
      <c r="F32" s="195"/>
      <c r="G32" s="195" t="s">
        <v>59</v>
      </c>
      <c r="H32" s="647">
        <v>1.4</v>
      </c>
      <c r="I32" s="195" t="s">
        <v>36</v>
      </c>
      <c r="J32" s="195"/>
      <c r="K32" s="195" t="s">
        <v>61</v>
      </c>
      <c r="L32" s="624">
        <v>180</v>
      </c>
      <c r="M32" s="98" t="s">
        <v>4</v>
      </c>
      <c r="N32" s="195" t="s">
        <v>189</v>
      </c>
      <c r="O32" s="195"/>
      <c r="P32" s="195"/>
      <c r="Q32" s="195"/>
      <c r="R32" s="195"/>
      <c r="S32" s="195"/>
      <c r="T32" s="195"/>
      <c r="U32" s="195"/>
      <c r="V32" s="196"/>
      <c r="W32" s="3"/>
      <c r="X32" s="3"/>
      <c r="Y32" s="3"/>
      <c r="Z32" s="3"/>
    </row>
    <row r="33" spans="1:26" ht="13" thickBot="1">
      <c r="A33" s="200"/>
      <c r="B33" s="201"/>
      <c r="C33" s="201"/>
      <c r="D33" s="201"/>
      <c r="E33" s="201"/>
      <c r="F33" s="201"/>
      <c r="G33" s="201"/>
      <c r="H33" s="201"/>
      <c r="I33" s="201"/>
      <c r="J33" s="201"/>
      <c r="K33" s="201"/>
      <c r="L33" s="201"/>
      <c r="M33" s="201"/>
      <c r="N33" s="201"/>
      <c r="O33" s="201"/>
      <c r="P33" s="201"/>
      <c r="Q33" s="201"/>
      <c r="R33" s="201"/>
      <c r="S33" s="201"/>
      <c r="T33" s="201"/>
      <c r="U33" s="201"/>
      <c r="V33" s="201"/>
      <c r="W33" s="3"/>
      <c r="X33" s="3"/>
      <c r="Y33" s="3"/>
      <c r="Z33" s="3"/>
    </row>
    <row r="34" spans="1:26" ht="16" thickBot="1">
      <c r="A34" s="239"/>
      <c r="B34" s="239"/>
      <c r="C34" s="240" t="s">
        <v>101</v>
      </c>
      <c r="D34" s="239"/>
      <c r="E34" s="239"/>
      <c r="F34" s="239"/>
      <c r="G34" s="239"/>
      <c r="H34" s="239"/>
      <c r="I34" s="239"/>
      <c r="J34" s="240" t="s">
        <v>102</v>
      </c>
      <c r="K34" s="239"/>
      <c r="L34" s="239"/>
      <c r="M34" s="127"/>
      <c r="N34" s="127"/>
      <c r="O34" s="127"/>
      <c r="P34" s="127"/>
      <c r="Q34" s="127"/>
      <c r="R34" s="127"/>
      <c r="S34" s="127"/>
      <c r="T34" s="127"/>
      <c r="U34" s="127"/>
      <c r="V34" s="393"/>
      <c r="W34" s="3"/>
      <c r="X34" s="3"/>
      <c r="Y34" s="3"/>
      <c r="Z34" s="3"/>
    </row>
    <row r="35" spans="1:26">
      <c r="A35" s="3"/>
      <c r="B35" s="3"/>
      <c r="C35" s="3"/>
      <c r="D35" s="3"/>
      <c r="E35" s="3"/>
      <c r="F35" s="3"/>
      <c r="G35" s="3"/>
      <c r="H35" s="3"/>
      <c r="I35" s="3"/>
      <c r="J35" s="3"/>
      <c r="K35" s="3" t="s">
        <v>715</v>
      </c>
      <c r="L35" s="3"/>
      <c r="M35" s="3"/>
      <c r="N35" s="3"/>
      <c r="O35" s="3"/>
      <c r="P35" s="3"/>
      <c r="Q35" s="3"/>
      <c r="R35" s="3"/>
      <c r="S35" s="3"/>
      <c r="T35" s="3"/>
      <c r="U35" s="3"/>
      <c r="V35" s="3"/>
      <c r="W35" s="3"/>
      <c r="X35" s="3"/>
      <c r="Y35" s="3"/>
      <c r="Z35" s="3"/>
    </row>
    <row r="36" spans="1:26" ht="15.5">
      <c r="A36" s="188" t="s">
        <v>100</v>
      </c>
      <c r="B36" s="189"/>
      <c r="C36" s="189"/>
      <c r="D36" s="190"/>
      <c r="E36" s="3"/>
      <c r="F36" s="3"/>
      <c r="G36" s="3"/>
      <c r="H36" s="3" t="s">
        <v>715</v>
      </c>
      <c r="I36" s="3"/>
      <c r="J36" s="3"/>
      <c r="K36" s="3"/>
      <c r="L36" s="3"/>
      <c r="M36" s="3"/>
      <c r="N36" s="3"/>
      <c r="O36" s="3"/>
      <c r="P36" s="3"/>
      <c r="Q36" s="3"/>
      <c r="R36" s="3"/>
      <c r="S36" s="3"/>
      <c r="T36" s="3"/>
      <c r="U36" s="3"/>
      <c r="V36" s="3"/>
      <c r="W36" s="3"/>
      <c r="X36" s="3"/>
      <c r="Y36" s="3"/>
      <c r="Z36" s="3"/>
    </row>
    <row r="37" spans="1:26" ht="13" thickBot="1">
      <c r="A37" s="3"/>
      <c r="B37" s="3"/>
      <c r="C37" s="3"/>
      <c r="D37" s="3"/>
      <c r="E37" s="3"/>
      <c r="F37" s="3" t="s">
        <v>715</v>
      </c>
      <c r="G37" s="3"/>
      <c r="H37" s="3"/>
      <c r="I37" s="3"/>
      <c r="J37" s="3"/>
      <c r="K37" s="3"/>
      <c r="L37" s="3"/>
      <c r="M37" s="3"/>
      <c r="N37" s="3"/>
      <c r="O37" s="3"/>
      <c r="P37" s="3"/>
      <c r="Q37" s="3"/>
      <c r="R37" s="3"/>
      <c r="S37" s="3"/>
      <c r="T37" s="3"/>
      <c r="U37" s="3"/>
      <c r="V37" s="3"/>
      <c r="W37" s="3"/>
      <c r="X37" s="3"/>
      <c r="Y37" s="3"/>
      <c r="Z37" s="3"/>
    </row>
    <row r="38" spans="1:26" ht="13.5" thickBot="1">
      <c r="A38" s="31"/>
      <c r="B38" s="187" t="s">
        <v>765</v>
      </c>
      <c r="C38" s="193"/>
      <c r="D38" s="180"/>
      <c r="E38" s="180"/>
      <c r="F38" s="180"/>
      <c r="G38" s="180"/>
      <c r="H38" s="180"/>
      <c r="I38" s="180"/>
      <c r="J38" s="180"/>
      <c r="K38" s="180"/>
      <c r="L38" s="181"/>
      <c r="M38" s="101"/>
      <c r="N38" s="101" t="s">
        <v>715</v>
      </c>
      <c r="O38" s="101"/>
      <c r="P38" s="101"/>
      <c r="Q38" s="101"/>
      <c r="R38" s="101"/>
      <c r="S38" s="101"/>
      <c r="T38" s="101"/>
      <c r="U38" s="3"/>
      <c r="V38" s="3"/>
      <c r="W38" s="3"/>
      <c r="X38" s="3"/>
      <c r="Y38" s="3"/>
      <c r="Z38" s="3"/>
    </row>
    <row r="39" spans="1:26">
      <c r="A39" s="31"/>
      <c r="B39" s="177"/>
      <c r="C39" s="141"/>
      <c r="D39" s="141" t="s">
        <v>14</v>
      </c>
      <c r="E39" s="141" t="s">
        <v>753</v>
      </c>
      <c r="F39" s="241">
        <f>Frequency!M16</f>
        <v>436.5</v>
      </c>
      <c r="G39" s="141" t="s">
        <v>754</v>
      </c>
      <c r="H39" s="141"/>
      <c r="I39" s="141"/>
      <c r="J39" s="141" t="s">
        <v>87</v>
      </c>
      <c r="K39" s="242">
        <f>299.8/F39</f>
        <v>0.6868270332187858</v>
      </c>
      <c r="L39" s="182" t="s">
        <v>755</v>
      </c>
      <c r="M39" s="101"/>
      <c r="N39" s="101"/>
      <c r="O39" s="101"/>
      <c r="P39" s="101"/>
      <c r="Q39" s="101"/>
      <c r="R39" s="101"/>
      <c r="S39" s="101"/>
      <c r="T39" s="101"/>
      <c r="U39" s="101"/>
      <c r="V39" s="101"/>
      <c r="W39" s="3"/>
      <c r="X39" s="3"/>
      <c r="Y39" s="3"/>
      <c r="Z39" s="3"/>
    </row>
    <row r="40" spans="1:26" ht="13" thickBot="1">
      <c r="A40" s="79"/>
      <c r="B40" s="177"/>
      <c r="C40" s="141"/>
      <c r="D40" s="141"/>
      <c r="E40" s="141"/>
      <c r="F40" s="199" t="s">
        <v>109</v>
      </c>
      <c r="G40" s="141"/>
      <c r="H40" s="141"/>
      <c r="I40" s="141"/>
      <c r="J40" s="141"/>
      <c r="K40" s="141"/>
      <c r="L40" s="182"/>
      <c r="M40" s="3"/>
      <c r="N40" s="3"/>
      <c r="O40" s="3"/>
      <c r="P40" s="3"/>
      <c r="Q40" s="3"/>
      <c r="R40" s="3"/>
      <c r="S40" s="3"/>
      <c r="T40" s="3"/>
      <c r="U40" s="3"/>
      <c r="V40" s="3"/>
      <c r="W40" s="3"/>
      <c r="X40" s="3"/>
      <c r="Y40" s="3"/>
      <c r="Z40" s="3"/>
    </row>
    <row r="41" spans="1:26" ht="13.5" thickBot="1">
      <c r="A41" s="79"/>
      <c r="B41" s="178" t="s">
        <v>715</v>
      </c>
      <c r="C41" s="141"/>
      <c r="D41" s="141"/>
      <c r="E41" s="645">
        <v>7</v>
      </c>
      <c r="F41" s="315" t="str">
        <f>INDEX(B43:B49,E41,1)</f>
        <v>Canted Turnstyle (back)</v>
      </c>
      <c r="G41" s="185"/>
      <c r="H41" s="141"/>
      <c r="I41" s="141"/>
      <c r="J41" s="141" t="s">
        <v>60</v>
      </c>
      <c r="K41" s="264" t="s">
        <v>62</v>
      </c>
      <c r="L41" s="182"/>
      <c r="M41" s="3"/>
      <c r="N41" s="3"/>
      <c r="O41" s="3"/>
      <c r="P41" s="3"/>
      <c r="Q41" s="3"/>
      <c r="R41" s="3"/>
      <c r="S41" s="3"/>
      <c r="T41" s="3"/>
      <c r="U41" s="3"/>
      <c r="V41" s="3"/>
      <c r="W41" s="3"/>
      <c r="X41" s="3"/>
      <c r="Y41" s="3"/>
      <c r="Z41" s="3"/>
    </row>
    <row r="42" spans="1:26" ht="13" thickBot="1">
      <c r="A42" s="214" t="s">
        <v>106</v>
      </c>
      <c r="B42" s="177"/>
      <c r="C42" s="141"/>
      <c r="D42" s="141"/>
      <c r="E42" s="141"/>
      <c r="F42" s="141" t="s">
        <v>715</v>
      </c>
      <c r="G42" s="141"/>
      <c r="H42" s="141"/>
      <c r="I42" s="141"/>
      <c r="J42" s="141"/>
      <c r="K42" s="141"/>
      <c r="L42" s="182"/>
      <c r="M42" s="3"/>
      <c r="N42" s="3"/>
      <c r="O42" s="3"/>
      <c r="P42" s="3"/>
      <c r="Q42" s="3"/>
      <c r="R42" s="3"/>
      <c r="S42" s="3"/>
      <c r="T42" s="3"/>
      <c r="U42" s="3"/>
      <c r="V42" s="3"/>
      <c r="W42" s="3"/>
      <c r="X42" s="3"/>
      <c r="Y42" s="3"/>
      <c r="Z42" s="3"/>
    </row>
    <row r="43" spans="1:26" ht="36" customHeight="1">
      <c r="A43" s="137">
        <v>1</v>
      </c>
      <c r="B43" s="138" t="s">
        <v>95</v>
      </c>
      <c r="C43" s="138"/>
      <c r="D43" s="138"/>
      <c r="E43" s="138"/>
      <c r="F43" s="138"/>
      <c r="G43" s="138" t="s">
        <v>59</v>
      </c>
      <c r="H43" s="198">
        <v>2.15</v>
      </c>
      <c r="I43" s="138" t="s">
        <v>63</v>
      </c>
      <c r="J43" s="138"/>
      <c r="K43" s="138" t="s">
        <v>61</v>
      </c>
      <c r="L43" s="198">
        <v>156.19999999999999</v>
      </c>
      <c r="M43" s="138" t="s">
        <v>4</v>
      </c>
      <c r="N43" s="138" t="s">
        <v>88</v>
      </c>
      <c r="O43" s="138"/>
      <c r="P43" s="138"/>
      <c r="Q43" s="138"/>
      <c r="R43" s="138"/>
      <c r="S43" s="138"/>
      <c r="T43" s="138"/>
      <c r="U43" s="138"/>
      <c r="V43" s="139"/>
      <c r="W43" s="3"/>
      <c r="X43" s="3"/>
      <c r="Y43" s="3"/>
      <c r="Z43" s="3"/>
    </row>
    <row r="44" spans="1:26" ht="36" customHeight="1">
      <c r="A44" s="140">
        <v>2</v>
      </c>
      <c r="B44" s="141" t="s">
        <v>96</v>
      </c>
      <c r="C44" s="141"/>
      <c r="D44" s="141"/>
      <c r="E44" s="141"/>
      <c r="F44" s="141"/>
      <c r="G44" s="141" t="s">
        <v>59</v>
      </c>
      <c r="H44" s="191">
        <v>2.15</v>
      </c>
      <c r="I44" s="141" t="s">
        <v>63</v>
      </c>
      <c r="J44" s="141"/>
      <c r="K44" s="141" t="s">
        <v>61</v>
      </c>
      <c r="L44" s="191">
        <v>156.19999999999999</v>
      </c>
      <c r="M44" s="141" t="s">
        <v>4</v>
      </c>
      <c r="N44" s="141" t="s">
        <v>70</v>
      </c>
      <c r="O44" s="141"/>
      <c r="P44" s="141"/>
      <c r="Q44" s="141"/>
      <c r="R44" s="141"/>
      <c r="S44" s="141"/>
      <c r="T44" s="141"/>
      <c r="U44" s="141"/>
      <c r="V44" s="143"/>
      <c r="W44" s="3"/>
      <c r="X44" s="3"/>
      <c r="Y44" s="3"/>
      <c r="Z44" s="3"/>
    </row>
    <row r="45" spans="1:26" ht="36" customHeight="1">
      <c r="A45" s="144">
        <v>3</v>
      </c>
      <c r="B45" s="98" t="s">
        <v>97</v>
      </c>
      <c r="C45" s="98"/>
      <c r="D45" s="98"/>
      <c r="E45" s="98"/>
      <c r="F45" s="98"/>
      <c r="G45" s="98" t="s">
        <v>59</v>
      </c>
      <c r="H45" s="194">
        <f>IF(K58=K41, 2, 0.5)</f>
        <v>2</v>
      </c>
      <c r="I45" s="98" t="s">
        <v>784</v>
      </c>
      <c r="J45" s="98" t="s">
        <v>72</v>
      </c>
      <c r="K45" s="98" t="s">
        <v>61</v>
      </c>
      <c r="L45" s="191">
        <v>180</v>
      </c>
      <c r="M45" s="98" t="s">
        <v>4</v>
      </c>
      <c r="N45" s="98" t="s">
        <v>71</v>
      </c>
      <c r="O45" s="98"/>
      <c r="P45" s="98"/>
      <c r="Q45" s="98"/>
      <c r="R45" s="98"/>
      <c r="S45" s="98"/>
      <c r="T45" s="98"/>
      <c r="U45" s="98"/>
      <c r="V45" s="99"/>
      <c r="W45" s="3"/>
      <c r="X45" s="3"/>
      <c r="Y45" s="3"/>
      <c r="Z45" s="3"/>
    </row>
    <row r="46" spans="1:26" ht="36" customHeight="1">
      <c r="A46" s="140">
        <v>4</v>
      </c>
      <c r="B46" s="141" t="s">
        <v>98</v>
      </c>
      <c r="C46" s="141"/>
      <c r="D46" s="192" t="s">
        <v>67</v>
      </c>
      <c r="E46" s="141" t="s">
        <v>68</v>
      </c>
      <c r="F46" s="141"/>
      <c r="G46" s="141" t="s">
        <v>59</v>
      </c>
      <c r="H46" s="194">
        <v>4</v>
      </c>
      <c r="I46" s="141" t="s">
        <v>784</v>
      </c>
      <c r="J46" s="141"/>
      <c r="K46" s="141" t="s">
        <v>61</v>
      </c>
      <c r="L46" s="191">
        <v>150</v>
      </c>
      <c r="M46" s="141" t="s">
        <v>4</v>
      </c>
      <c r="N46" s="141" t="s">
        <v>69</v>
      </c>
      <c r="O46" s="141"/>
      <c r="P46" s="141"/>
      <c r="Q46" s="141"/>
      <c r="R46" s="141"/>
      <c r="S46" s="141"/>
      <c r="T46" s="141"/>
      <c r="U46" s="141"/>
      <c r="V46" s="143"/>
      <c r="W46" s="3"/>
      <c r="X46" s="3"/>
      <c r="Y46" s="3"/>
      <c r="Z46" s="3"/>
    </row>
    <row r="47" spans="1:26" ht="36" customHeight="1" thickBot="1">
      <c r="A47" s="144">
        <v>5</v>
      </c>
      <c r="B47" s="98" t="s">
        <v>99</v>
      </c>
      <c r="C47" s="98"/>
      <c r="D47" s="655" t="s">
        <v>136</v>
      </c>
      <c r="E47" s="98"/>
      <c r="F47" s="98"/>
      <c r="G47" s="98" t="s">
        <v>59</v>
      </c>
      <c r="H47" s="674">
        <v>6</v>
      </c>
      <c r="I47" s="98" t="s">
        <v>368</v>
      </c>
      <c r="J47" s="98"/>
      <c r="K47" s="98" t="s">
        <v>61</v>
      </c>
      <c r="L47" s="675">
        <v>90</v>
      </c>
      <c r="M47" s="98" t="s">
        <v>4</v>
      </c>
      <c r="N47" s="98" t="s">
        <v>69</v>
      </c>
      <c r="O47" s="98"/>
      <c r="P47" s="98"/>
      <c r="Q47" s="98"/>
      <c r="R47" s="98"/>
      <c r="S47" s="98"/>
      <c r="T47" s="98"/>
      <c r="U47" s="98"/>
      <c r="V47" s="99"/>
      <c r="W47" s="3"/>
      <c r="X47" s="3"/>
      <c r="Y47" s="3"/>
      <c r="Z47" s="3"/>
    </row>
    <row r="48" spans="1:26" ht="36" customHeight="1" thickBot="1">
      <c r="A48" s="140">
        <v>6</v>
      </c>
      <c r="B48" s="141" t="s">
        <v>92</v>
      </c>
      <c r="C48" s="141"/>
      <c r="D48" s="658"/>
      <c r="E48" s="141"/>
      <c r="F48" s="141"/>
      <c r="G48" s="141" t="s">
        <v>59</v>
      </c>
      <c r="H48" s="660">
        <f>20.4+20*LOG10(T48)+20*LOG10(F39/1000)+10*LOG10(V48)</f>
        <v>16.62391176905383</v>
      </c>
      <c r="I48" s="141" t="s">
        <v>368</v>
      </c>
      <c r="J48" s="141"/>
      <c r="K48" s="141" t="s">
        <v>61</v>
      </c>
      <c r="L48" s="660">
        <f>21/((F39/1000)*T48)</f>
        <v>24.054982817869416</v>
      </c>
      <c r="M48" s="141" t="s">
        <v>4</v>
      </c>
      <c r="N48" s="141" t="s">
        <v>188</v>
      </c>
      <c r="O48" s="141"/>
      <c r="P48" s="141"/>
      <c r="Q48" s="141"/>
      <c r="R48" s="141"/>
      <c r="S48" s="678" t="s">
        <v>647</v>
      </c>
      <c r="T48" s="676">
        <v>2</v>
      </c>
      <c r="U48" s="680" t="s">
        <v>648</v>
      </c>
      <c r="V48" s="677">
        <v>0.55000000000000004</v>
      </c>
      <c r="W48" s="3"/>
      <c r="X48" s="3"/>
      <c r="Y48" s="3"/>
      <c r="Z48" s="3"/>
    </row>
    <row r="49" spans="1:26" ht="36" customHeight="1" thickBot="1">
      <c r="A49" s="197">
        <v>7</v>
      </c>
      <c r="B49" s="195" t="s">
        <v>1076</v>
      </c>
      <c r="C49" s="195"/>
      <c r="D49" s="288"/>
      <c r="E49" s="195"/>
      <c r="F49" s="195"/>
      <c r="G49" s="195" t="s">
        <v>59</v>
      </c>
      <c r="H49" s="647">
        <v>1.4</v>
      </c>
      <c r="I49" s="195" t="s">
        <v>36</v>
      </c>
      <c r="J49" s="195"/>
      <c r="K49" s="195" t="s">
        <v>61</v>
      </c>
      <c r="L49" s="624">
        <v>180</v>
      </c>
      <c r="M49" s="195" t="s">
        <v>4</v>
      </c>
      <c r="N49" s="195" t="s">
        <v>189</v>
      </c>
      <c r="O49" s="195"/>
      <c r="P49" s="195"/>
      <c r="Q49" s="195"/>
      <c r="R49" s="195"/>
      <c r="S49" s="195"/>
      <c r="T49" s="195"/>
      <c r="U49" s="195"/>
      <c r="V49" s="196"/>
      <c r="W49" s="3"/>
      <c r="X49" s="3"/>
      <c r="Y49" s="3"/>
      <c r="Z49" s="3"/>
    </row>
    <row r="50" spans="1:26">
      <c r="A50" s="3"/>
      <c r="B50" s="3"/>
      <c r="C50" s="3"/>
      <c r="D50" s="3"/>
      <c r="E50" s="3"/>
      <c r="F50" s="3"/>
      <c r="G50" s="3"/>
      <c r="H50" s="3"/>
      <c r="I50" s="3"/>
      <c r="J50" s="3"/>
      <c r="K50" s="3"/>
      <c r="L50" s="3"/>
      <c r="M50" s="3"/>
      <c r="N50" s="3"/>
      <c r="O50" s="3"/>
      <c r="P50" s="3"/>
      <c r="Q50" s="3"/>
      <c r="R50" s="3"/>
      <c r="S50" s="3"/>
      <c r="T50" s="3"/>
      <c r="U50" s="3"/>
      <c r="V50" s="3"/>
      <c r="W50" s="3"/>
      <c r="X50" s="3"/>
      <c r="Y50" s="3"/>
      <c r="Z50" s="3"/>
    </row>
    <row r="51" spans="1:26">
      <c r="A51" s="3"/>
      <c r="B51" s="3"/>
      <c r="C51" s="3"/>
      <c r="D51" s="3"/>
      <c r="E51" s="3"/>
      <c r="F51" s="3"/>
      <c r="G51" s="3"/>
      <c r="H51" s="3"/>
      <c r="I51" s="3"/>
      <c r="J51" s="3"/>
      <c r="K51" s="3"/>
      <c r="L51" s="3"/>
      <c r="M51" s="3"/>
      <c r="N51" s="3"/>
      <c r="O51" s="3"/>
      <c r="P51" s="3"/>
      <c r="Q51" s="3"/>
      <c r="R51" s="3"/>
      <c r="S51" s="3"/>
      <c r="T51" s="3"/>
      <c r="U51" s="3"/>
      <c r="V51" s="3"/>
      <c r="W51" s="3"/>
      <c r="X51" s="3"/>
      <c r="Y51" s="3"/>
      <c r="Z51" s="3"/>
    </row>
    <row r="52" spans="1:26">
      <c r="A52" s="3"/>
      <c r="B52" s="3"/>
      <c r="C52" s="3"/>
      <c r="D52" s="3"/>
      <c r="E52" s="3"/>
      <c r="F52" s="3"/>
      <c r="G52" s="3"/>
      <c r="H52" s="3"/>
      <c r="I52" s="3"/>
      <c r="J52" s="3"/>
      <c r="K52" s="3"/>
      <c r="L52" s="3"/>
      <c r="M52" s="3"/>
      <c r="N52" s="3"/>
      <c r="O52" s="3"/>
      <c r="P52" s="3"/>
      <c r="Q52" s="3"/>
      <c r="R52" s="3"/>
      <c r="S52" s="3"/>
      <c r="T52" s="3"/>
      <c r="U52" s="3"/>
      <c r="V52" s="3"/>
      <c r="W52" s="3"/>
      <c r="X52" s="3"/>
      <c r="Y52" s="3"/>
      <c r="Z52" s="3"/>
    </row>
    <row r="53" spans="1:26" ht="13" thickBot="1">
      <c r="A53" s="3"/>
      <c r="B53" s="3"/>
      <c r="C53" s="3"/>
      <c r="D53" s="3"/>
      <c r="E53" s="3"/>
      <c r="F53" s="3"/>
      <c r="G53" s="3"/>
      <c r="H53" s="3"/>
      <c r="I53" s="3"/>
      <c r="J53" s="3"/>
      <c r="K53" s="3"/>
      <c r="L53" s="3"/>
      <c r="M53" s="3"/>
      <c r="N53" s="3"/>
      <c r="O53" s="3"/>
      <c r="P53" s="3"/>
      <c r="Q53" s="3"/>
      <c r="R53" s="3"/>
      <c r="S53" s="3"/>
      <c r="T53" s="3"/>
      <c r="U53" s="3"/>
      <c r="V53" s="3"/>
      <c r="W53" s="3"/>
      <c r="X53" s="3"/>
      <c r="Y53" s="3"/>
      <c r="Z53" s="3"/>
    </row>
    <row r="54" spans="1:26" ht="13.5" thickBot="1">
      <c r="A54" s="3"/>
      <c r="B54" s="187" t="s">
        <v>94</v>
      </c>
      <c r="C54" s="186"/>
      <c r="D54" s="180"/>
      <c r="E54" s="180"/>
      <c r="F54" s="180"/>
      <c r="G54" s="180"/>
      <c r="H54" s="180"/>
      <c r="I54" s="180"/>
      <c r="J54" s="180"/>
      <c r="K54" s="180"/>
      <c r="L54" s="181"/>
      <c r="M54" s="3"/>
      <c r="N54" s="3"/>
      <c r="O54" s="3"/>
      <c r="P54" s="3"/>
      <c r="Q54" s="3"/>
      <c r="R54" s="3"/>
      <c r="S54" s="3"/>
      <c r="T54" s="3"/>
      <c r="U54" s="3"/>
      <c r="V54" s="3"/>
      <c r="W54" s="3"/>
      <c r="X54" s="3"/>
      <c r="Y54" s="3"/>
      <c r="Z54" s="3"/>
    </row>
    <row r="55" spans="1:26" ht="13">
      <c r="A55" s="238"/>
      <c r="B55" s="211" t="s">
        <v>715</v>
      </c>
      <c r="C55" s="211"/>
      <c r="D55" s="326" t="s">
        <v>14</v>
      </c>
      <c r="E55" s="212" t="s">
        <v>753</v>
      </c>
      <c r="F55" s="243">
        <f>F39</f>
        <v>436.5</v>
      </c>
      <c r="G55" s="141" t="s">
        <v>754</v>
      </c>
      <c r="H55" s="141"/>
      <c r="I55" s="141"/>
      <c r="J55" s="141" t="s">
        <v>87</v>
      </c>
      <c r="K55" s="244">
        <f>299.8/F55</f>
        <v>0.6868270332187858</v>
      </c>
      <c r="L55" s="182" t="s">
        <v>755</v>
      </c>
      <c r="M55" s="3"/>
      <c r="N55" s="3"/>
      <c r="O55" s="3"/>
      <c r="P55" s="3"/>
      <c r="Q55" s="3"/>
      <c r="R55" s="3"/>
      <c r="S55" s="3"/>
      <c r="T55" s="3"/>
      <c r="U55" s="3"/>
      <c r="V55" s="3"/>
      <c r="W55" s="3"/>
      <c r="X55" s="3"/>
      <c r="Y55" s="3"/>
      <c r="Z55" s="3"/>
    </row>
    <row r="56" spans="1:26">
      <c r="A56" s="3"/>
      <c r="B56" s="177"/>
      <c r="C56" s="141"/>
      <c r="D56" s="141"/>
      <c r="E56" s="141"/>
      <c r="F56" s="141"/>
      <c r="G56" s="141"/>
      <c r="H56" s="141"/>
      <c r="I56" s="141"/>
      <c r="J56" s="141"/>
      <c r="K56" s="141"/>
      <c r="L56" s="182"/>
      <c r="M56" s="3"/>
      <c r="N56" s="3"/>
      <c r="O56" s="3"/>
      <c r="P56" s="3"/>
      <c r="Q56" s="3"/>
      <c r="R56" s="3"/>
      <c r="S56" s="3"/>
      <c r="T56" s="3"/>
      <c r="U56" s="3"/>
      <c r="V56" s="3"/>
      <c r="W56" s="3"/>
      <c r="X56" s="3"/>
      <c r="Y56" s="3"/>
      <c r="Z56" s="3"/>
    </row>
    <row r="57" spans="1:26" ht="13" thickBot="1">
      <c r="A57" s="79"/>
      <c r="B57" s="177"/>
      <c r="C57" s="141"/>
      <c r="D57" s="141"/>
      <c r="E57" s="141"/>
      <c r="F57" s="199" t="s">
        <v>107</v>
      </c>
      <c r="G57" s="141"/>
      <c r="H57" s="141"/>
      <c r="I57" s="141"/>
      <c r="J57" s="141"/>
      <c r="K57" s="141"/>
      <c r="L57" s="182"/>
      <c r="M57" s="3"/>
      <c r="N57" s="3"/>
      <c r="O57" s="3"/>
      <c r="P57" s="3"/>
      <c r="Q57" s="3"/>
      <c r="R57" s="3"/>
      <c r="S57" s="3"/>
      <c r="T57" s="3"/>
      <c r="U57" s="3"/>
      <c r="V57" s="3"/>
      <c r="W57" s="3"/>
      <c r="X57" s="3"/>
      <c r="Y57" s="3"/>
      <c r="Z57" s="3"/>
    </row>
    <row r="58" spans="1:26" ht="13.5" thickBot="1">
      <c r="A58" s="79"/>
      <c r="B58" s="178" t="s">
        <v>715</v>
      </c>
      <c r="C58" s="141"/>
      <c r="D58" s="141"/>
      <c r="E58" s="645">
        <v>4</v>
      </c>
      <c r="F58" s="644" t="str">
        <f>INDEX(B60:B63,E58,1)</f>
        <v>Crossed Yagi</v>
      </c>
      <c r="G58" s="185"/>
      <c r="H58" s="141"/>
      <c r="I58" s="141"/>
      <c r="J58" s="141" t="s">
        <v>60</v>
      </c>
      <c r="K58" s="264" t="s">
        <v>62</v>
      </c>
      <c r="L58" s="182"/>
      <c r="M58" s="3"/>
      <c r="N58" s="3"/>
      <c r="O58" s="3"/>
      <c r="P58" s="3"/>
      <c r="Q58" s="3"/>
      <c r="R58" s="3"/>
      <c r="S58" s="3"/>
      <c r="T58" s="3"/>
      <c r="U58" s="3"/>
      <c r="V58" s="3"/>
      <c r="W58" s="3"/>
      <c r="X58" s="3"/>
      <c r="Y58" s="3"/>
      <c r="Z58" s="3"/>
    </row>
    <row r="59" spans="1:26" ht="13" thickBot="1">
      <c r="A59" s="386" t="s">
        <v>106</v>
      </c>
      <c r="B59" s="235"/>
      <c r="C59" s="236"/>
      <c r="D59" s="236"/>
      <c r="E59" s="236"/>
      <c r="F59" s="236"/>
      <c r="G59" s="236"/>
      <c r="H59" s="236"/>
      <c r="I59" s="236"/>
      <c r="J59" s="236"/>
      <c r="K59" s="236"/>
      <c r="L59" s="237"/>
      <c r="M59" s="3"/>
      <c r="N59" s="3"/>
      <c r="O59" s="3"/>
      <c r="P59" s="3"/>
      <c r="Q59" s="3"/>
      <c r="R59" s="3"/>
      <c r="S59" s="3"/>
      <c r="T59" s="3"/>
      <c r="U59" s="3"/>
      <c r="V59" s="3"/>
      <c r="W59" s="3"/>
      <c r="X59" s="3"/>
      <c r="Y59" s="3"/>
      <c r="Z59" s="3"/>
    </row>
    <row r="60" spans="1:26" ht="36" customHeight="1">
      <c r="A60" s="176">
        <v>1</v>
      </c>
      <c r="B60" s="171" t="s">
        <v>77</v>
      </c>
      <c r="C60" s="171"/>
      <c r="D60" s="172" t="s">
        <v>73</v>
      </c>
      <c r="E60" s="173">
        <v>2</v>
      </c>
      <c r="F60" s="171"/>
      <c r="G60" s="172" t="s">
        <v>75</v>
      </c>
      <c r="H60" s="174">
        <f>IF(E60&lt;$B$72,"too short!",INDEX($D$72:$D$110,MATCH(E60,$B$72:$B$110,1),1))</f>
        <v>8</v>
      </c>
      <c r="I60" s="171" t="s">
        <v>74</v>
      </c>
      <c r="J60" s="175" t="s">
        <v>86</v>
      </c>
      <c r="K60" s="171"/>
      <c r="L60" s="171"/>
      <c r="M60" s="152" t="s">
        <v>76</v>
      </c>
      <c r="N60" s="153">
        <f>IF(E60&lt;$B$72,"too short!",INDEX($F$72:$F$110,MATCH(E60,$B$72:$B$110,1),1))</f>
        <v>14.05</v>
      </c>
      <c r="O60" s="151" t="s">
        <v>784</v>
      </c>
      <c r="P60" s="151" t="s">
        <v>61</v>
      </c>
      <c r="Q60" s="154">
        <f>SQRT(40000/(10^(N60/10)))</f>
        <v>39.676193136730106</v>
      </c>
      <c r="R60" s="151" t="s">
        <v>4</v>
      </c>
      <c r="S60" s="151" t="s">
        <v>89</v>
      </c>
      <c r="T60" s="151"/>
      <c r="U60" s="155">
        <f>K55*E60</f>
        <v>1.3736540664375716</v>
      </c>
      <c r="V60" s="156" t="s">
        <v>755</v>
      </c>
      <c r="W60" s="3"/>
      <c r="X60" s="3"/>
      <c r="Y60" s="3"/>
      <c r="Z60" s="3"/>
    </row>
    <row r="61" spans="1:26" ht="35.25" customHeight="1">
      <c r="A61" s="157">
        <v>2</v>
      </c>
      <c r="B61" s="158" t="s">
        <v>91</v>
      </c>
      <c r="C61" s="158"/>
      <c r="D61" s="158" t="s">
        <v>65</v>
      </c>
      <c r="E61" s="159">
        <v>10</v>
      </c>
      <c r="F61" s="158"/>
      <c r="G61" s="160" t="s">
        <v>66</v>
      </c>
      <c r="H61" s="159">
        <v>0.25</v>
      </c>
      <c r="I61" s="158"/>
      <c r="J61" s="160" t="s">
        <v>64</v>
      </c>
      <c r="K61" s="161">
        <v>1</v>
      </c>
      <c r="L61" s="158"/>
      <c r="M61" s="158" t="s">
        <v>59</v>
      </c>
      <c r="N61" s="162">
        <f>10*LOG10(15*K61^2*E61*H61)</f>
        <v>15.740312677277188</v>
      </c>
      <c r="O61" s="158" t="s">
        <v>784</v>
      </c>
      <c r="P61" s="158" t="s">
        <v>61</v>
      </c>
      <c r="Q61" s="163">
        <f>115/(K61*((E61*H61)^0.5))</f>
        <v>72.73238618387272</v>
      </c>
      <c r="R61" s="158" t="s">
        <v>4</v>
      </c>
      <c r="S61" s="376" t="s">
        <v>89</v>
      </c>
      <c r="T61" s="376"/>
      <c r="U61" s="375">
        <f>H61*E61*K55</f>
        <v>1.7170675830469646</v>
      </c>
      <c r="V61" s="164" t="s">
        <v>755</v>
      </c>
      <c r="W61" s="3"/>
      <c r="X61" s="3"/>
      <c r="Y61" s="3"/>
      <c r="Z61" s="3"/>
    </row>
    <row r="62" spans="1:26" ht="36" customHeight="1">
      <c r="A62" s="165">
        <v>3</v>
      </c>
      <c r="B62" s="166" t="s">
        <v>92</v>
      </c>
      <c r="C62" s="166"/>
      <c r="D62" s="166"/>
      <c r="E62" s="166"/>
      <c r="F62" s="166"/>
      <c r="G62" s="167" t="s">
        <v>58</v>
      </c>
      <c r="H62" s="168">
        <v>2</v>
      </c>
      <c r="I62" s="166"/>
      <c r="J62" s="167" t="s">
        <v>52</v>
      </c>
      <c r="K62" s="169">
        <v>0.6</v>
      </c>
      <c r="L62" s="166"/>
      <c r="M62" s="166" t="s">
        <v>59</v>
      </c>
      <c r="N62" s="162">
        <f>20.4+20*LOG10(H62)+20*LOG10(F55/1000)+10*LOG10(K62)</f>
        <v>17.001797377947828</v>
      </c>
      <c r="O62" s="166" t="s">
        <v>784</v>
      </c>
      <c r="P62" s="166" t="s">
        <v>61</v>
      </c>
      <c r="Q62" s="163">
        <f>21/((F55/1000)*H62)</f>
        <v>24.054982817869416</v>
      </c>
      <c r="R62" s="166" t="s">
        <v>4</v>
      </c>
      <c r="S62" s="166"/>
      <c r="T62" s="166"/>
      <c r="U62" s="166"/>
      <c r="V62" s="170"/>
      <c r="W62" s="3"/>
      <c r="X62" s="3"/>
      <c r="Y62" s="3"/>
      <c r="Z62" s="3"/>
    </row>
    <row r="63" spans="1:26" ht="36" customHeight="1" thickBot="1">
      <c r="A63" s="145">
        <v>4</v>
      </c>
      <c r="B63" s="146" t="s">
        <v>944</v>
      </c>
      <c r="C63" s="146"/>
      <c r="D63" s="146"/>
      <c r="E63" s="624" t="s">
        <v>945</v>
      </c>
      <c r="F63" s="890"/>
      <c r="G63" s="624" t="s">
        <v>946</v>
      </c>
      <c r="H63" s="899"/>
      <c r="I63" s="899"/>
      <c r="J63" s="899"/>
      <c r="K63" s="147"/>
      <c r="L63" s="146"/>
      <c r="M63" s="146" t="s">
        <v>59</v>
      </c>
      <c r="N63" s="148">
        <v>15.5</v>
      </c>
      <c r="O63" s="146" t="s">
        <v>784</v>
      </c>
      <c r="P63" s="146" t="s">
        <v>61</v>
      </c>
      <c r="Q63" s="149">
        <v>30</v>
      </c>
      <c r="R63" s="146" t="s">
        <v>4</v>
      </c>
      <c r="S63" s="681" t="s">
        <v>466</v>
      </c>
      <c r="T63" s="146"/>
      <c r="U63" s="682">
        <v>2.97</v>
      </c>
      <c r="V63" s="150" t="s">
        <v>755</v>
      </c>
      <c r="W63" s="3"/>
      <c r="X63" s="3"/>
      <c r="Y63" s="3"/>
      <c r="Z63" s="3"/>
    </row>
    <row r="64" spans="1:26">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ht="13" thickBot="1">
      <c r="A66" s="3"/>
      <c r="B66" s="3"/>
      <c r="C66" s="3"/>
      <c r="D66" s="3" t="s">
        <v>110</v>
      </c>
      <c r="E66" s="3"/>
      <c r="F66" s="3"/>
      <c r="G66" s="3"/>
      <c r="H66" s="3"/>
      <c r="I66" s="3"/>
      <c r="J66" s="3"/>
      <c r="K66" s="3"/>
      <c r="L66" s="3"/>
      <c r="M66" s="3"/>
      <c r="N66" s="3"/>
      <c r="O66" s="3"/>
      <c r="P66" s="3"/>
      <c r="Q66" s="3"/>
      <c r="R66" s="3"/>
      <c r="S66" s="3"/>
      <c r="T66" s="3"/>
      <c r="U66" s="3"/>
      <c r="V66" s="3"/>
      <c r="W66" s="3"/>
      <c r="X66" s="3"/>
      <c r="Y66" s="3"/>
      <c r="Z66" s="3"/>
    </row>
    <row r="67" spans="1:26" ht="16" thickBot="1">
      <c r="A67" s="3"/>
      <c r="B67" s="216" t="s">
        <v>79</v>
      </c>
      <c r="C67" s="217"/>
      <c r="D67" s="217"/>
      <c r="E67" s="217"/>
      <c r="F67" s="193"/>
      <c r="G67" s="3"/>
      <c r="H67" s="3"/>
      <c r="I67" s="3"/>
      <c r="J67" s="3"/>
      <c r="K67" s="3"/>
      <c r="L67" s="3"/>
      <c r="M67" s="3"/>
      <c r="N67" s="3"/>
      <c r="O67" s="3"/>
      <c r="P67" s="3"/>
      <c r="Q67" s="3"/>
      <c r="R67" s="3"/>
      <c r="S67" s="3"/>
      <c r="T67" s="3"/>
      <c r="U67" s="3"/>
      <c r="V67" s="3"/>
      <c r="W67" s="3"/>
      <c r="X67" s="3"/>
      <c r="Y67" s="3"/>
      <c r="Z67" s="3"/>
    </row>
    <row r="68" spans="1:26">
      <c r="A68" s="3"/>
      <c r="B68" s="204"/>
      <c r="C68" s="98"/>
      <c r="D68" s="98"/>
      <c r="E68" s="98"/>
      <c r="F68" s="203"/>
      <c r="G68" s="3"/>
      <c r="H68" s="3"/>
      <c r="I68" s="3"/>
      <c r="J68" s="3"/>
      <c r="K68" s="3"/>
      <c r="L68" s="3"/>
      <c r="M68" s="3"/>
      <c r="N68" s="3"/>
      <c r="O68" s="3"/>
      <c r="P68" s="3"/>
      <c r="Q68" s="3"/>
      <c r="R68" s="3"/>
      <c r="S68" s="3"/>
      <c r="T68" s="3"/>
      <c r="U68" s="3"/>
      <c r="V68" s="3"/>
      <c r="W68" s="3"/>
      <c r="X68" s="3"/>
      <c r="Y68" s="3"/>
      <c r="Z68" s="3"/>
    </row>
    <row r="69" spans="1:26">
      <c r="A69" s="3"/>
      <c r="B69" s="202" t="s">
        <v>80</v>
      </c>
      <c r="C69" s="98"/>
      <c r="D69" s="98" t="s">
        <v>82</v>
      </c>
      <c r="E69" s="98"/>
      <c r="F69" s="203" t="s">
        <v>84</v>
      </c>
      <c r="G69" s="3"/>
      <c r="H69" s="3"/>
      <c r="I69" s="3"/>
      <c r="J69" s="3"/>
      <c r="K69" s="3"/>
      <c r="L69" s="3"/>
      <c r="M69" s="3"/>
      <c r="N69" s="3"/>
      <c r="O69" s="3"/>
      <c r="P69" s="3"/>
      <c r="Q69" s="3"/>
      <c r="R69" s="3"/>
      <c r="S69" s="3"/>
      <c r="T69" s="3"/>
      <c r="U69" s="3"/>
      <c r="V69" s="3"/>
      <c r="W69" s="3"/>
      <c r="X69" s="3"/>
      <c r="Y69" s="3"/>
      <c r="Z69" s="3"/>
    </row>
    <row r="70" spans="1:26">
      <c r="A70" s="3"/>
      <c r="B70" s="202" t="s">
        <v>81</v>
      </c>
      <c r="C70" s="98"/>
      <c r="D70" s="98" t="s">
        <v>83</v>
      </c>
      <c r="E70" s="98"/>
      <c r="F70" s="203" t="s">
        <v>85</v>
      </c>
      <c r="G70" s="3"/>
      <c r="H70" s="3"/>
      <c r="I70" s="3"/>
      <c r="J70" s="3"/>
      <c r="K70" s="3"/>
      <c r="L70" s="3"/>
      <c r="M70" s="3"/>
      <c r="N70" s="3"/>
      <c r="O70" s="3"/>
      <c r="P70" s="3"/>
      <c r="Q70" s="3"/>
      <c r="R70" s="3"/>
      <c r="S70" s="3"/>
      <c r="T70" s="3"/>
      <c r="U70" s="3"/>
      <c r="V70" s="3"/>
      <c r="W70" s="3"/>
      <c r="X70" s="3"/>
      <c r="Y70" s="3"/>
      <c r="Z70" s="3"/>
    </row>
    <row r="71" spans="1:26">
      <c r="A71" s="3"/>
      <c r="B71" s="204"/>
      <c r="C71" s="98"/>
      <c r="D71" s="98"/>
      <c r="E71" s="98"/>
      <c r="F71" s="203"/>
      <c r="G71" s="3"/>
      <c r="H71" s="3"/>
      <c r="I71" s="3"/>
      <c r="J71" s="3"/>
      <c r="K71" s="3"/>
      <c r="L71" s="3"/>
      <c r="M71" s="3"/>
      <c r="N71" s="3"/>
      <c r="O71" s="3"/>
      <c r="P71" s="3"/>
      <c r="Q71" s="3"/>
      <c r="R71" s="3"/>
      <c r="S71" s="3"/>
      <c r="T71" s="3"/>
      <c r="U71" s="3"/>
      <c r="V71" s="3"/>
      <c r="W71" s="3"/>
      <c r="X71" s="3"/>
      <c r="Y71" s="3"/>
      <c r="Z71" s="3"/>
    </row>
    <row r="72" spans="1:26">
      <c r="A72" s="3"/>
      <c r="B72" s="205">
        <v>0.35</v>
      </c>
      <c r="C72" s="206"/>
      <c r="D72" s="206">
        <v>3</v>
      </c>
      <c r="E72" s="206"/>
      <c r="F72" s="207">
        <v>9.65</v>
      </c>
      <c r="G72" s="3"/>
      <c r="H72" s="3"/>
      <c r="I72" s="3"/>
      <c r="J72" s="3"/>
      <c r="K72" s="3"/>
      <c r="L72" s="3"/>
      <c r="M72" s="3"/>
      <c r="N72" s="3"/>
      <c r="O72" s="3"/>
      <c r="P72" s="3"/>
      <c r="Q72" s="3"/>
      <c r="R72" s="3"/>
      <c r="S72" s="3"/>
      <c r="T72" s="3"/>
      <c r="U72" s="3"/>
      <c r="V72" s="3"/>
      <c r="W72" s="3"/>
      <c r="X72" s="3"/>
      <c r="Y72" s="3"/>
      <c r="Z72" s="3"/>
    </row>
    <row r="73" spans="1:26">
      <c r="A73" s="3"/>
      <c r="B73" s="205" t="s">
        <v>715</v>
      </c>
      <c r="C73" s="206"/>
      <c r="D73" s="206"/>
      <c r="E73" s="206"/>
      <c r="F73" s="207"/>
      <c r="G73" s="3"/>
      <c r="H73" s="3"/>
      <c r="I73" s="3"/>
      <c r="J73" s="3"/>
      <c r="K73" s="3"/>
      <c r="L73" s="3"/>
      <c r="M73" s="3"/>
      <c r="N73" s="3"/>
      <c r="O73" s="3"/>
      <c r="P73" s="3"/>
      <c r="Q73" s="3"/>
      <c r="R73" s="3"/>
      <c r="S73" s="3"/>
      <c r="T73" s="3"/>
      <c r="U73" s="3"/>
      <c r="V73" s="3"/>
      <c r="W73" s="3"/>
      <c r="X73" s="3"/>
      <c r="Y73" s="3"/>
      <c r="Z73" s="3"/>
    </row>
    <row r="74" spans="1:26">
      <c r="A74" s="3"/>
      <c r="B74" s="205">
        <v>0.55000000000000004</v>
      </c>
      <c r="C74" s="206"/>
      <c r="D74" s="206">
        <v>4</v>
      </c>
      <c r="E74" s="206"/>
      <c r="F74" s="207">
        <v>10.86</v>
      </c>
      <c r="G74" s="3"/>
      <c r="H74" s="3"/>
      <c r="I74" s="3"/>
      <c r="J74" s="3"/>
      <c r="K74" s="3"/>
      <c r="L74" s="3"/>
      <c r="M74" s="3"/>
      <c r="N74" s="3"/>
      <c r="O74" s="3"/>
      <c r="P74" s="3"/>
      <c r="Q74" s="3"/>
      <c r="R74" s="3"/>
      <c r="S74" s="3"/>
      <c r="T74" s="3"/>
      <c r="U74" s="3"/>
      <c r="V74" s="3"/>
      <c r="W74" s="3"/>
      <c r="X74" s="3"/>
      <c r="Y74" s="3"/>
      <c r="Z74" s="3"/>
    </row>
    <row r="75" spans="1:26">
      <c r="A75" s="3"/>
      <c r="B75" s="205"/>
      <c r="C75" s="206"/>
      <c r="D75" s="206"/>
      <c r="E75" s="206"/>
      <c r="F75" s="207"/>
      <c r="G75" s="3"/>
      <c r="H75" s="3"/>
      <c r="I75" s="3"/>
      <c r="J75" s="3"/>
      <c r="K75" s="3"/>
      <c r="L75" s="3"/>
      <c r="M75" s="3"/>
      <c r="N75" s="3"/>
      <c r="O75" s="3"/>
      <c r="P75" s="3"/>
      <c r="Q75" s="3"/>
      <c r="R75" s="3"/>
      <c r="S75" s="3"/>
      <c r="T75" s="3"/>
      <c r="U75" s="3"/>
      <c r="V75" s="3"/>
      <c r="W75" s="3"/>
      <c r="X75" s="3"/>
      <c r="Y75" s="3"/>
      <c r="Z75" s="3"/>
    </row>
    <row r="76" spans="1:26">
      <c r="A76" s="3"/>
      <c r="B76" s="205">
        <v>0.8</v>
      </c>
      <c r="C76" s="206"/>
      <c r="D76" s="206">
        <v>5</v>
      </c>
      <c r="E76" s="206"/>
      <c r="F76" s="207">
        <v>11.85</v>
      </c>
      <c r="G76" s="3"/>
      <c r="H76" s="3"/>
      <c r="I76" s="3"/>
      <c r="J76" s="3"/>
      <c r="K76" s="3"/>
      <c r="L76" s="3"/>
      <c r="M76" s="3"/>
      <c r="N76" s="3"/>
      <c r="O76" s="3"/>
      <c r="P76" s="3"/>
      <c r="Q76" s="3"/>
      <c r="R76" s="3"/>
      <c r="S76" s="3"/>
      <c r="T76" s="3"/>
      <c r="U76" s="3"/>
      <c r="V76" s="3"/>
      <c r="W76" s="3"/>
      <c r="X76" s="3"/>
      <c r="Y76" s="3"/>
      <c r="Z76" s="3"/>
    </row>
    <row r="77" spans="1:26">
      <c r="A77" s="3"/>
      <c r="B77" s="205"/>
      <c r="C77" s="206"/>
      <c r="D77" s="206"/>
      <c r="E77" s="206"/>
      <c r="F77" s="207"/>
      <c r="G77" s="3"/>
      <c r="H77" s="3"/>
      <c r="I77" s="3"/>
      <c r="J77" s="3"/>
      <c r="K77" s="3"/>
      <c r="L77" s="3"/>
      <c r="M77" s="3"/>
      <c r="N77" s="3"/>
      <c r="O77" s="3"/>
      <c r="P77" s="3"/>
      <c r="Q77" s="3"/>
      <c r="R77" s="3"/>
      <c r="S77" s="3"/>
      <c r="T77" s="3"/>
      <c r="U77" s="3"/>
      <c r="V77" s="3"/>
      <c r="W77" s="3"/>
      <c r="X77" s="3"/>
      <c r="Y77" s="3"/>
      <c r="Z77" s="3"/>
    </row>
    <row r="78" spans="1:26">
      <c r="A78" s="3"/>
      <c r="B78" s="205">
        <v>1.1499999999999999</v>
      </c>
      <c r="C78" s="206"/>
      <c r="D78" s="206">
        <v>6</v>
      </c>
      <c r="E78" s="206"/>
      <c r="F78" s="207">
        <v>12.45</v>
      </c>
      <c r="G78" s="3"/>
      <c r="H78" s="3"/>
      <c r="I78" s="3"/>
      <c r="J78" s="3"/>
      <c r="K78" s="3"/>
      <c r="L78" s="3"/>
      <c r="M78" s="3"/>
      <c r="N78" s="3"/>
      <c r="O78" s="3"/>
      <c r="P78" s="3"/>
      <c r="Q78" s="3"/>
      <c r="R78" s="3"/>
      <c r="S78" s="3"/>
      <c r="T78" s="3"/>
      <c r="U78" s="3"/>
      <c r="V78" s="3"/>
      <c r="W78" s="3"/>
      <c r="X78" s="3"/>
      <c r="Y78" s="3"/>
      <c r="Z78" s="3"/>
    </row>
    <row r="79" spans="1:26">
      <c r="A79" s="3"/>
      <c r="B79" s="205"/>
      <c r="C79" s="206"/>
      <c r="D79" s="206"/>
      <c r="E79" s="206"/>
      <c r="F79" s="207"/>
      <c r="G79" s="3"/>
      <c r="H79" s="3"/>
      <c r="I79" s="3"/>
      <c r="J79" s="3"/>
      <c r="K79" s="3"/>
      <c r="L79" s="3"/>
      <c r="M79" s="3"/>
      <c r="N79" s="3"/>
      <c r="O79" s="3"/>
      <c r="P79" s="3"/>
      <c r="Q79" s="3"/>
      <c r="R79" s="3"/>
      <c r="S79" s="3"/>
      <c r="T79" s="3"/>
      <c r="U79" s="3"/>
      <c r="V79" s="3"/>
      <c r="W79" s="3"/>
      <c r="X79" s="3"/>
      <c r="Y79" s="3"/>
      <c r="Z79" s="3"/>
    </row>
    <row r="80" spans="1:26">
      <c r="A80" s="3"/>
      <c r="B80" s="205">
        <v>1.45</v>
      </c>
      <c r="C80" s="206"/>
      <c r="D80" s="206">
        <v>7</v>
      </c>
      <c r="E80" s="206"/>
      <c r="F80" s="207">
        <v>13.35</v>
      </c>
      <c r="G80" s="3"/>
      <c r="H80" s="3"/>
      <c r="I80" s="3"/>
      <c r="J80" s="3"/>
      <c r="K80" s="3"/>
      <c r="L80" s="3"/>
      <c r="M80" s="3"/>
      <c r="N80" s="3"/>
      <c r="O80" s="3"/>
      <c r="P80" s="3"/>
      <c r="Q80" s="3"/>
      <c r="R80" s="3"/>
      <c r="S80" s="3"/>
      <c r="T80" s="3"/>
      <c r="U80" s="3"/>
      <c r="V80" s="3"/>
      <c r="W80" s="3"/>
      <c r="X80" s="3"/>
      <c r="Y80" s="3"/>
      <c r="Z80" s="3"/>
    </row>
    <row r="81" spans="1:26">
      <c r="A81" s="3"/>
      <c r="B81" s="205"/>
      <c r="C81" s="206"/>
      <c r="D81" s="206"/>
      <c r="E81" s="206"/>
      <c r="F81" s="207"/>
      <c r="G81" s="3"/>
      <c r="H81" s="3"/>
      <c r="I81" s="3"/>
      <c r="J81" s="3"/>
      <c r="K81" s="3"/>
      <c r="L81" s="3"/>
      <c r="M81" s="3"/>
      <c r="N81" s="3"/>
      <c r="O81" s="3"/>
      <c r="P81" s="3"/>
      <c r="Q81" s="3"/>
      <c r="R81" s="3"/>
      <c r="S81" s="3"/>
      <c r="T81" s="3"/>
      <c r="U81" s="3"/>
      <c r="V81" s="3"/>
      <c r="W81" s="3"/>
      <c r="X81" s="3"/>
      <c r="Y81" s="3"/>
      <c r="Z81" s="3"/>
    </row>
    <row r="82" spans="1:26">
      <c r="A82" s="3"/>
      <c r="B82" s="205">
        <v>1.8</v>
      </c>
      <c r="C82" s="206"/>
      <c r="D82" s="206">
        <v>8</v>
      </c>
      <c r="E82" s="206"/>
      <c r="F82" s="207">
        <v>14.05</v>
      </c>
      <c r="G82" s="3"/>
      <c r="H82" s="3"/>
      <c r="I82" s="3"/>
      <c r="J82" s="3"/>
      <c r="K82" s="3"/>
      <c r="L82" s="3"/>
      <c r="M82" s="3"/>
      <c r="N82" s="3"/>
      <c r="O82" s="3"/>
      <c r="P82" s="3"/>
      <c r="Q82" s="3"/>
      <c r="R82" s="3"/>
      <c r="S82" s="3"/>
      <c r="T82" s="3"/>
      <c r="U82" s="3"/>
      <c r="V82" s="3"/>
      <c r="W82" s="3"/>
      <c r="X82" s="3"/>
      <c r="Y82" s="3"/>
      <c r="Z82" s="3"/>
    </row>
    <row r="83" spans="1:26">
      <c r="A83" s="3"/>
      <c r="B83" s="205"/>
      <c r="C83" s="206"/>
      <c r="D83" s="206"/>
      <c r="E83" s="206"/>
      <c r="F83" s="207"/>
      <c r="G83" s="3"/>
      <c r="H83" s="3"/>
      <c r="I83" s="3"/>
      <c r="J83" s="3"/>
      <c r="K83" s="3"/>
      <c r="L83" s="3"/>
      <c r="M83" s="3"/>
      <c r="N83" s="3"/>
      <c r="O83" s="3"/>
      <c r="P83" s="3"/>
      <c r="Q83" s="3"/>
      <c r="R83" s="3"/>
      <c r="S83" s="3"/>
      <c r="T83" s="3"/>
      <c r="U83" s="3"/>
      <c r="V83" s="3"/>
      <c r="W83" s="3"/>
      <c r="X83" s="3"/>
      <c r="Y83" s="3"/>
      <c r="Z83" s="3"/>
    </row>
    <row r="84" spans="1:26">
      <c r="A84" s="3"/>
      <c r="B84" s="205">
        <v>2.1</v>
      </c>
      <c r="C84" s="206"/>
      <c r="D84" s="206">
        <v>9</v>
      </c>
      <c r="E84" s="206"/>
      <c r="F84" s="207">
        <v>14.4</v>
      </c>
      <c r="G84" s="3"/>
      <c r="H84" s="3"/>
      <c r="I84" s="3"/>
      <c r="J84" s="3"/>
      <c r="K84" s="3"/>
      <c r="L84" s="3"/>
      <c r="M84" s="3"/>
      <c r="N84" s="3"/>
      <c r="O84" s="3"/>
      <c r="P84" s="3"/>
      <c r="Q84" s="3"/>
      <c r="R84" s="3"/>
      <c r="S84" s="3"/>
      <c r="T84" s="3"/>
      <c r="U84" s="3"/>
      <c r="V84" s="3"/>
      <c r="W84" s="3"/>
      <c r="X84" s="3"/>
      <c r="Y84" s="3"/>
      <c r="Z84" s="3"/>
    </row>
    <row r="85" spans="1:26">
      <c r="A85" s="3"/>
      <c r="B85" s="205"/>
      <c r="C85" s="206"/>
      <c r="D85" s="206"/>
      <c r="E85" s="206"/>
      <c r="F85" s="207"/>
      <c r="G85" s="3"/>
      <c r="H85" s="3"/>
      <c r="I85" s="3"/>
      <c r="J85" s="3"/>
      <c r="K85" s="3"/>
      <c r="L85" s="3"/>
      <c r="M85" s="3"/>
      <c r="N85" s="3"/>
      <c r="O85" s="3"/>
      <c r="P85" s="3"/>
      <c r="Q85" s="3"/>
      <c r="R85" s="3"/>
      <c r="S85" s="3"/>
      <c r="T85" s="3"/>
      <c r="U85" s="3"/>
      <c r="V85" s="3"/>
      <c r="W85" s="3"/>
      <c r="X85" s="3"/>
      <c r="Y85" s="3"/>
      <c r="Z85" s="3"/>
    </row>
    <row r="86" spans="1:26">
      <c r="A86" s="3"/>
      <c r="B86" s="205">
        <v>2.4500000000000002</v>
      </c>
      <c r="C86" s="206"/>
      <c r="D86" s="206">
        <v>10</v>
      </c>
      <c r="E86" s="206"/>
      <c r="F86" s="207">
        <v>15.25</v>
      </c>
      <c r="G86" s="3"/>
      <c r="H86" s="3"/>
      <c r="I86" s="3"/>
      <c r="J86" s="3"/>
      <c r="K86" s="3"/>
      <c r="L86" s="3"/>
      <c r="M86" s="3"/>
      <c r="N86" s="3"/>
      <c r="O86" s="3"/>
      <c r="P86" s="3"/>
      <c r="Q86" s="3"/>
      <c r="R86" s="3"/>
      <c r="S86" s="3"/>
      <c r="T86" s="3"/>
      <c r="U86" s="3"/>
      <c r="V86" s="3"/>
      <c r="W86" s="3"/>
      <c r="X86" s="3"/>
      <c r="Y86" s="3"/>
      <c r="Z86" s="3"/>
    </row>
    <row r="87" spans="1:26">
      <c r="A87" s="3"/>
      <c r="B87" s="205"/>
      <c r="C87" s="206"/>
      <c r="D87" s="206"/>
      <c r="E87" s="206"/>
      <c r="F87" s="207"/>
      <c r="G87" s="3"/>
      <c r="H87" s="3"/>
      <c r="I87" s="3"/>
      <c r="J87" s="3"/>
      <c r="K87" s="3"/>
      <c r="L87" s="3"/>
      <c r="M87" s="3"/>
      <c r="N87" s="3"/>
      <c r="O87" s="3"/>
      <c r="P87" s="3"/>
      <c r="Q87" s="3"/>
      <c r="R87" s="3"/>
      <c r="S87" s="3"/>
      <c r="T87" s="3"/>
      <c r="U87" s="3"/>
      <c r="V87" s="3"/>
      <c r="W87" s="3"/>
      <c r="X87" s="3"/>
      <c r="Y87" s="3"/>
      <c r="Z87" s="3"/>
    </row>
    <row r="88" spans="1:26">
      <c r="A88" s="3"/>
      <c r="B88" s="205">
        <v>2.8</v>
      </c>
      <c r="C88" s="206"/>
      <c r="D88" s="206">
        <v>11</v>
      </c>
      <c r="E88" s="206"/>
      <c r="F88" s="207">
        <v>15.95</v>
      </c>
      <c r="G88" s="3"/>
      <c r="H88" s="3"/>
      <c r="I88" s="3"/>
      <c r="J88" s="3"/>
      <c r="K88" s="3"/>
      <c r="L88" s="3"/>
      <c r="M88" s="3"/>
      <c r="N88" s="3"/>
      <c r="O88" s="3"/>
      <c r="P88" s="3"/>
      <c r="Q88" s="3"/>
      <c r="R88" s="3"/>
      <c r="S88" s="3"/>
      <c r="T88" s="3"/>
      <c r="U88" s="3"/>
      <c r="V88" s="3"/>
      <c r="W88" s="3"/>
      <c r="X88" s="3"/>
      <c r="Y88" s="3"/>
      <c r="Z88" s="3"/>
    </row>
    <row r="89" spans="1:26">
      <c r="A89" s="3"/>
      <c r="B89" s="205"/>
      <c r="C89" s="206"/>
      <c r="D89" s="206"/>
      <c r="E89" s="206"/>
      <c r="F89" s="207"/>
      <c r="G89" s="3"/>
      <c r="H89" s="3"/>
      <c r="I89" s="3"/>
      <c r="J89" s="3"/>
      <c r="K89" s="3"/>
      <c r="L89" s="3"/>
      <c r="M89" s="3"/>
      <c r="N89" s="3"/>
      <c r="O89" s="3"/>
      <c r="P89" s="3"/>
      <c r="Q89" s="3"/>
      <c r="R89" s="3"/>
      <c r="S89" s="3"/>
      <c r="T89" s="3"/>
      <c r="U89" s="3"/>
      <c r="V89" s="3"/>
      <c r="W89" s="3"/>
      <c r="X89" s="3"/>
      <c r="Y89" s="3"/>
      <c r="Z89" s="3"/>
    </row>
    <row r="90" spans="1:26">
      <c r="A90" s="3"/>
      <c r="B90" s="205">
        <v>3.15</v>
      </c>
      <c r="C90" s="206"/>
      <c r="D90" s="206">
        <v>12</v>
      </c>
      <c r="E90" s="206"/>
      <c r="F90" s="207">
        <v>16.3</v>
      </c>
      <c r="G90" s="3"/>
      <c r="H90" s="3"/>
      <c r="I90" s="3"/>
      <c r="J90" s="3"/>
      <c r="K90" s="3"/>
      <c r="L90" s="3"/>
      <c r="M90" s="3"/>
      <c r="N90" s="3"/>
      <c r="O90" s="3"/>
      <c r="P90" s="3"/>
      <c r="Q90" s="3"/>
      <c r="R90" s="3"/>
      <c r="S90" s="3"/>
      <c r="T90" s="3"/>
      <c r="U90" s="3"/>
      <c r="V90" s="3"/>
      <c r="W90" s="3"/>
      <c r="X90" s="3"/>
      <c r="Y90" s="3"/>
      <c r="Z90" s="3"/>
    </row>
    <row r="91" spans="1:26">
      <c r="A91" s="3"/>
      <c r="B91" s="205"/>
      <c r="C91" s="206"/>
      <c r="D91" s="206"/>
      <c r="E91" s="206"/>
      <c r="F91" s="207"/>
      <c r="G91" s="3"/>
      <c r="H91" s="3"/>
      <c r="I91" s="3"/>
      <c r="J91" s="3"/>
      <c r="K91" s="3"/>
      <c r="L91" s="3"/>
      <c r="M91" s="3"/>
      <c r="N91" s="3"/>
      <c r="O91" s="3"/>
      <c r="P91" s="3"/>
      <c r="Q91" s="3"/>
      <c r="R91" s="3"/>
      <c r="S91" s="3"/>
      <c r="T91" s="3"/>
      <c r="U91" s="3"/>
      <c r="V91" s="3"/>
      <c r="W91" s="3"/>
      <c r="X91" s="3"/>
      <c r="Y91" s="3"/>
      <c r="Z91" s="3"/>
    </row>
    <row r="92" spans="1:26">
      <c r="A92" s="3"/>
      <c r="B92" s="205">
        <v>3.55</v>
      </c>
      <c r="C92" s="206"/>
      <c r="D92" s="206">
        <v>13</v>
      </c>
      <c r="E92" s="206"/>
      <c r="F92" s="207">
        <v>16.95</v>
      </c>
      <c r="G92" s="3"/>
      <c r="H92" s="3"/>
      <c r="I92" s="3"/>
      <c r="J92" s="3"/>
      <c r="K92" s="3"/>
      <c r="L92" s="3"/>
      <c r="M92" s="3"/>
      <c r="N92" s="3"/>
      <c r="O92" s="3"/>
      <c r="P92" s="3"/>
      <c r="Q92" s="3"/>
      <c r="R92" s="3"/>
      <c r="S92" s="3"/>
      <c r="T92" s="3"/>
      <c r="U92" s="3"/>
      <c r="V92" s="3"/>
      <c r="W92" s="3"/>
      <c r="X92" s="3"/>
      <c r="Y92" s="3"/>
      <c r="Z92" s="3"/>
    </row>
    <row r="93" spans="1:26">
      <c r="A93" s="3"/>
      <c r="B93" s="205"/>
      <c r="C93" s="206"/>
      <c r="D93" s="206"/>
      <c r="E93" s="206"/>
      <c r="F93" s="207"/>
      <c r="G93" s="3"/>
      <c r="H93" s="3"/>
      <c r="I93" s="3"/>
      <c r="J93" s="3"/>
      <c r="K93" s="3"/>
      <c r="L93" s="3"/>
      <c r="M93" s="3"/>
      <c r="N93" s="3"/>
      <c r="O93" s="3"/>
      <c r="P93" s="3"/>
      <c r="Q93" s="3"/>
      <c r="R93" s="3"/>
      <c r="S93" s="3"/>
      <c r="T93" s="3"/>
      <c r="U93" s="3"/>
      <c r="V93" s="3"/>
      <c r="W93" s="3"/>
      <c r="X93" s="3"/>
      <c r="Y93" s="3"/>
      <c r="Z93" s="3"/>
    </row>
    <row r="94" spans="1:26">
      <c r="A94" s="3"/>
      <c r="B94" s="205">
        <v>4</v>
      </c>
      <c r="C94" s="206"/>
      <c r="D94" s="206">
        <v>14</v>
      </c>
      <c r="E94" s="206"/>
      <c r="F94" s="207">
        <v>17.45</v>
      </c>
      <c r="G94" s="3"/>
      <c r="H94" s="3"/>
      <c r="I94" s="3"/>
      <c r="J94" s="3"/>
      <c r="K94" s="3"/>
      <c r="L94" s="3"/>
      <c r="M94" s="3"/>
      <c r="N94" s="3"/>
      <c r="O94" s="3"/>
      <c r="P94" s="3"/>
      <c r="Q94" s="3"/>
      <c r="R94" s="3"/>
      <c r="S94" s="3"/>
      <c r="T94" s="3"/>
      <c r="U94" s="3"/>
      <c r="V94" s="3"/>
      <c r="W94" s="3"/>
      <c r="X94" s="3"/>
      <c r="Y94" s="3"/>
      <c r="Z94" s="3"/>
    </row>
    <row r="95" spans="1:26">
      <c r="A95" s="3"/>
      <c r="B95" s="205"/>
      <c r="C95" s="206"/>
      <c r="D95" s="206"/>
      <c r="E95" s="206"/>
      <c r="F95" s="207"/>
      <c r="G95" s="3"/>
      <c r="H95" s="3"/>
      <c r="I95" s="3"/>
      <c r="J95" s="3"/>
      <c r="K95" s="3"/>
      <c r="L95" s="3"/>
      <c r="M95" s="3"/>
      <c r="N95" s="3"/>
      <c r="O95" s="3"/>
      <c r="P95" s="3"/>
      <c r="Q95" s="3"/>
      <c r="R95" s="3"/>
      <c r="S95" s="3"/>
      <c r="T95" s="3"/>
      <c r="U95" s="3"/>
      <c r="V95" s="3"/>
      <c r="W95" s="3"/>
      <c r="X95" s="3"/>
      <c r="Y95" s="3"/>
      <c r="Z95" s="3"/>
    </row>
    <row r="96" spans="1:26">
      <c r="A96" s="3"/>
      <c r="B96" s="205">
        <v>4.4000000000000004</v>
      </c>
      <c r="C96" s="206"/>
      <c r="D96" s="206">
        <v>15</v>
      </c>
      <c r="E96" s="206"/>
      <c r="F96" s="207">
        <v>18.149999999999999</v>
      </c>
      <c r="G96" s="3"/>
      <c r="H96" s="3"/>
      <c r="I96" s="3"/>
      <c r="J96" s="3"/>
      <c r="K96" s="3"/>
      <c r="L96" s="3"/>
      <c r="M96" s="3"/>
      <c r="N96" s="3"/>
      <c r="O96" s="3"/>
      <c r="P96" s="3"/>
      <c r="Q96" s="3"/>
      <c r="R96" s="3"/>
      <c r="S96" s="3"/>
      <c r="T96" s="3"/>
      <c r="U96" s="3"/>
      <c r="V96" s="3"/>
      <c r="W96" s="3"/>
      <c r="X96" s="3"/>
      <c r="Y96" s="3"/>
      <c r="Z96" s="3"/>
    </row>
    <row r="97" spans="1:26">
      <c r="A97" s="3"/>
      <c r="B97" s="205"/>
      <c r="C97" s="206"/>
      <c r="D97" s="206"/>
      <c r="E97" s="206"/>
      <c r="F97" s="207"/>
      <c r="G97" s="3"/>
      <c r="H97" s="3"/>
      <c r="I97" s="3"/>
      <c r="J97" s="3"/>
      <c r="K97" s="3"/>
      <c r="L97" s="3"/>
      <c r="M97" s="3"/>
      <c r="N97" s="3"/>
      <c r="O97" s="3"/>
      <c r="P97" s="3"/>
      <c r="Q97" s="3"/>
      <c r="R97" s="3"/>
      <c r="S97" s="3"/>
      <c r="T97" s="3"/>
      <c r="U97" s="3"/>
      <c r="V97" s="3"/>
      <c r="W97" s="3"/>
      <c r="X97" s="3"/>
      <c r="Y97" s="3"/>
      <c r="Z97" s="3"/>
    </row>
    <row r="98" spans="1:26">
      <c r="A98" s="3"/>
      <c r="B98" s="205">
        <v>4.75</v>
      </c>
      <c r="C98" s="206"/>
      <c r="D98" s="206">
        <v>16</v>
      </c>
      <c r="E98" s="206"/>
      <c r="F98" s="207">
        <v>18.649999999999999</v>
      </c>
      <c r="G98" s="3"/>
      <c r="H98" s="3"/>
      <c r="I98" s="3"/>
      <c r="J98" s="3"/>
      <c r="K98" s="3"/>
      <c r="L98" s="3"/>
      <c r="M98" s="3"/>
      <c r="N98" s="3"/>
      <c r="O98" s="3"/>
      <c r="P98" s="3"/>
      <c r="Q98" s="3"/>
      <c r="R98" s="3"/>
      <c r="S98" s="3"/>
      <c r="T98" s="3"/>
      <c r="U98" s="3"/>
      <c r="V98" s="3"/>
      <c r="W98" s="3"/>
      <c r="X98" s="3"/>
      <c r="Y98" s="3"/>
      <c r="Z98" s="3"/>
    </row>
    <row r="99" spans="1:26">
      <c r="A99" s="3"/>
      <c r="B99" s="205"/>
      <c r="C99" s="206"/>
      <c r="D99" s="206"/>
      <c r="E99" s="206"/>
      <c r="F99" s="207"/>
      <c r="G99" s="3"/>
      <c r="H99" s="3"/>
      <c r="I99" s="3"/>
      <c r="J99" s="3"/>
      <c r="K99" s="3"/>
      <c r="L99" s="3"/>
      <c r="M99" s="3"/>
      <c r="N99" s="3"/>
      <c r="O99" s="3"/>
      <c r="P99" s="3"/>
      <c r="Q99" s="3"/>
      <c r="R99" s="3"/>
      <c r="S99" s="3"/>
      <c r="T99" s="3"/>
      <c r="U99" s="3"/>
      <c r="V99" s="3"/>
      <c r="W99" s="3"/>
      <c r="X99" s="3"/>
      <c r="Y99" s="3"/>
      <c r="Z99" s="3"/>
    </row>
    <row r="100" spans="1:26">
      <c r="A100" s="3"/>
      <c r="B100" s="205">
        <v>5.2</v>
      </c>
      <c r="C100" s="98"/>
      <c r="D100" s="206">
        <v>17</v>
      </c>
      <c r="E100" s="98"/>
      <c r="F100" s="207">
        <v>19.350000000000001</v>
      </c>
      <c r="G100" s="3"/>
      <c r="H100" s="3"/>
      <c r="I100" s="3"/>
      <c r="J100" s="3"/>
      <c r="K100" s="3"/>
      <c r="L100" s="3"/>
      <c r="M100" s="3"/>
      <c r="N100" s="3"/>
      <c r="O100" s="3"/>
      <c r="P100" s="3"/>
      <c r="Q100" s="3"/>
      <c r="R100" s="3"/>
      <c r="S100" s="3"/>
      <c r="T100" s="3"/>
      <c r="U100" s="3"/>
      <c r="V100" s="3"/>
      <c r="W100" s="3"/>
      <c r="X100" s="3"/>
      <c r="Y100" s="3"/>
      <c r="Z100" s="3"/>
    </row>
    <row r="101" spans="1:26">
      <c r="A101" s="3"/>
      <c r="B101" s="205"/>
      <c r="C101" s="98"/>
      <c r="D101" s="206"/>
      <c r="E101" s="98"/>
      <c r="F101" s="207"/>
      <c r="G101" s="3"/>
      <c r="H101" s="3"/>
      <c r="I101" s="3"/>
      <c r="J101" s="3"/>
      <c r="K101" s="3"/>
      <c r="L101" s="3"/>
      <c r="M101" s="3"/>
      <c r="N101" s="3"/>
      <c r="O101" s="3"/>
      <c r="P101" s="3"/>
      <c r="Q101" s="3"/>
      <c r="R101" s="3"/>
      <c r="S101" s="3"/>
      <c r="T101" s="3"/>
      <c r="U101" s="3"/>
      <c r="V101" s="3"/>
      <c r="W101" s="3"/>
      <c r="X101" s="3"/>
      <c r="Y101" s="3"/>
      <c r="Z101" s="3"/>
    </row>
    <row r="102" spans="1:26">
      <c r="A102" s="3"/>
      <c r="B102" s="205">
        <v>5.55</v>
      </c>
      <c r="C102" s="98"/>
      <c r="D102" s="206">
        <v>18</v>
      </c>
      <c r="E102" s="98"/>
      <c r="F102" s="207">
        <v>19.850000000000001</v>
      </c>
      <c r="G102" s="3"/>
      <c r="H102" s="3"/>
      <c r="I102" s="3"/>
      <c r="J102" s="3"/>
      <c r="K102" s="3"/>
      <c r="L102" s="3"/>
      <c r="M102" s="3"/>
      <c r="N102" s="3"/>
      <c r="O102" s="3"/>
      <c r="P102" s="3"/>
      <c r="Q102" s="3"/>
      <c r="R102" s="3"/>
      <c r="S102" s="3"/>
      <c r="T102" s="3"/>
      <c r="U102" s="3"/>
      <c r="V102" s="3"/>
      <c r="W102" s="3"/>
      <c r="X102" s="3"/>
      <c r="Y102" s="3"/>
      <c r="Z102" s="3"/>
    </row>
    <row r="103" spans="1:26">
      <c r="A103" s="3"/>
      <c r="B103" s="205"/>
      <c r="C103" s="98"/>
      <c r="D103" s="206"/>
      <c r="E103" s="98"/>
      <c r="F103" s="207"/>
      <c r="G103" s="3"/>
      <c r="H103" s="3"/>
      <c r="I103" s="3"/>
      <c r="J103" s="3"/>
      <c r="K103" s="3"/>
      <c r="L103" s="3"/>
      <c r="M103" s="3"/>
      <c r="N103" s="3"/>
      <c r="O103" s="3"/>
      <c r="P103" s="3"/>
      <c r="Q103" s="3"/>
      <c r="R103" s="3"/>
      <c r="S103" s="3"/>
      <c r="T103" s="3"/>
      <c r="U103" s="3"/>
      <c r="V103" s="3"/>
      <c r="W103" s="3"/>
      <c r="X103" s="3"/>
      <c r="Y103" s="3"/>
      <c r="Z103" s="3"/>
    </row>
    <row r="104" spans="1:26">
      <c r="A104" s="3"/>
      <c r="B104" s="205">
        <v>6</v>
      </c>
      <c r="C104" s="98"/>
      <c r="D104" s="206">
        <v>19</v>
      </c>
      <c r="E104" s="98"/>
      <c r="F104" s="207">
        <v>20.25</v>
      </c>
      <c r="G104" s="3"/>
      <c r="H104" s="3"/>
      <c r="I104" s="3"/>
      <c r="J104" s="3"/>
      <c r="K104" s="3"/>
      <c r="L104" s="3"/>
      <c r="M104" s="3"/>
      <c r="N104" s="3"/>
      <c r="O104" s="3"/>
      <c r="P104" s="3"/>
      <c r="Q104" s="3"/>
      <c r="R104" s="3"/>
      <c r="S104" s="3"/>
      <c r="T104" s="3"/>
      <c r="U104" s="3"/>
      <c r="V104" s="3"/>
      <c r="W104" s="3"/>
      <c r="X104" s="3"/>
      <c r="Y104" s="3"/>
      <c r="Z104" s="3"/>
    </row>
    <row r="105" spans="1:26">
      <c r="A105" s="3"/>
      <c r="B105" s="205"/>
      <c r="C105" s="98"/>
      <c r="D105" s="206"/>
      <c r="E105" s="98"/>
      <c r="F105" s="207"/>
      <c r="G105" s="3"/>
      <c r="H105" s="3"/>
      <c r="I105" s="3"/>
      <c r="J105" s="3"/>
      <c r="K105" s="3"/>
      <c r="L105" s="3"/>
      <c r="M105" s="3"/>
      <c r="N105" s="3"/>
      <c r="O105" s="3"/>
      <c r="P105" s="3"/>
      <c r="Q105" s="3"/>
      <c r="R105" s="3"/>
      <c r="S105" s="3"/>
      <c r="T105" s="3"/>
      <c r="U105" s="3"/>
      <c r="V105" s="3"/>
      <c r="W105" s="3"/>
      <c r="X105" s="3"/>
      <c r="Y105" s="3"/>
      <c r="Z105" s="3"/>
    </row>
    <row r="106" spans="1:26">
      <c r="A106" s="3"/>
      <c r="B106" s="205">
        <v>6.5</v>
      </c>
      <c r="C106" s="98"/>
      <c r="D106" s="206">
        <v>20</v>
      </c>
      <c r="E106" s="98"/>
      <c r="F106" s="207">
        <v>20.75</v>
      </c>
      <c r="G106" s="3"/>
      <c r="H106" s="3"/>
      <c r="I106" s="3"/>
      <c r="J106" s="3"/>
      <c r="K106" s="3"/>
      <c r="L106" s="3"/>
      <c r="M106" s="3"/>
      <c r="N106" s="3"/>
      <c r="O106" s="3"/>
      <c r="P106" s="3"/>
      <c r="Q106" s="3"/>
      <c r="R106" s="3"/>
      <c r="S106" s="3"/>
      <c r="T106" s="3"/>
      <c r="U106" s="3"/>
      <c r="V106" s="3"/>
      <c r="W106" s="3"/>
      <c r="X106" s="3"/>
      <c r="Y106" s="3"/>
      <c r="Z106" s="3"/>
    </row>
    <row r="107" spans="1:26">
      <c r="A107" s="3"/>
      <c r="B107" s="205"/>
      <c r="C107" s="98"/>
      <c r="D107" s="206"/>
      <c r="E107" s="98"/>
      <c r="F107" s="207"/>
      <c r="G107" s="3"/>
      <c r="H107" s="3"/>
      <c r="I107" s="3"/>
      <c r="J107" s="3"/>
      <c r="K107" s="3"/>
      <c r="L107" s="3"/>
      <c r="M107" s="3"/>
      <c r="N107" s="3"/>
      <c r="O107" s="3"/>
      <c r="P107" s="3"/>
      <c r="Q107" s="3"/>
      <c r="R107" s="3"/>
      <c r="S107" s="3"/>
      <c r="T107" s="3"/>
      <c r="U107" s="3"/>
      <c r="V107" s="3"/>
      <c r="W107" s="3"/>
      <c r="X107" s="3"/>
      <c r="Y107" s="3"/>
      <c r="Z107" s="3"/>
    </row>
    <row r="108" spans="1:26">
      <c r="A108" s="3"/>
      <c r="B108" s="205">
        <v>7</v>
      </c>
      <c r="C108" s="98"/>
      <c r="D108" s="206">
        <v>21</v>
      </c>
      <c r="E108" s="98"/>
      <c r="F108" s="207">
        <v>21.35</v>
      </c>
      <c r="G108" s="3"/>
      <c r="H108" s="3"/>
      <c r="I108" s="3"/>
      <c r="J108" s="3"/>
      <c r="K108" s="3"/>
      <c r="L108" s="3"/>
      <c r="M108" s="3"/>
      <c r="N108" s="3"/>
      <c r="O108" s="3"/>
      <c r="P108" s="3"/>
      <c r="Q108" s="3"/>
      <c r="R108" s="3"/>
      <c r="S108" s="3"/>
      <c r="T108" s="3"/>
      <c r="U108" s="3"/>
      <c r="V108" s="3"/>
      <c r="W108" s="3"/>
      <c r="X108" s="3"/>
      <c r="Y108" s="3"/>
      <c r="Z108" s="3"/>
    </row>
    <row r="109" spans="1:26">
      <c r="A109" s="3"/>
      <c r="B109" s="205"/>
      <c r="C109" s="98"/>
      <c r="D109" s="206"/>
      <c r="E109" s="98"/>
      <c r="F109" s="207"/>
      <c r="G109" s="3"/>
      <c r="H109" s="3"/>
      <c r="I109" s="3"/>
      <c r="J109" s="3"/>
      <c r="K109" s="3"/>
      <c r="L109" s="3"/>
      <c r="M109" s="3"/>
      <c r="N109" s="3"/>
      <c r="O109" s="3"/>
      <c r="P109" s="3"/>
      <c r="Q109" s="3"/>
      <c r="R109" s="3"/>
      <c r="S109" s="3"/>
      <c r="T109" s="3"/>
      <c r="U109" s="3"/>
      <c r="V109" s="3"/>
      <c r="W109" s="3"/>
      <c r="X109" s="3"/>
      <c r="Y109" s="3"/>
      <c r="Z109" s="3"/>
    </row>
    <row r="110" spans="1:26">
      <c r="A110" s="3"/>
      <c r="B110" s="205">
        <v>7.5</v>
      </c>
      <c r="C110" s="98"/>
      <c r="D110" s="206">
        <v>22</v>
      </c>
      <c r="E110" s="98"/>
      <c r="F110" s="207">
        <v>21.65</v>
      </c>
      <c r="G110" s="3"/>
      <c r="H110" s="3"/>
      <c r="I110" s="3"/>
      <c r="J110" s="3"/>
      <c r="K110" s="3"/>
      <c r="L110" s="3"/>
      <c r="M110" s="3"/>
      <c r="N110" s="3"/>
      <c r="O110" s="3"/>
      <c r="P110" s="3"/>
      <c r="Q110" s="3"/>
      <c r="R110" s="3"/>
      <c r="S110" s="3"/>
      <c r="T110" s="3"/>
      <c r="U110" s="3"/>
      <c r="V110" s="3"/>
      <c r="W110" s="3"/>
      <c r="X110" s="3"/>
      <c r="Y110" s="3"/>
      <c r="Z110" s="3"/>
    </row>
    <row r="111" spans="1:26">
      <c r="A111" s="3"/>
      <c r="B111" s="208"/>
      <c r="C111" s="171"/>
      <c r="D111" s="171"/>
      <c r="E111" s="171"/>
      <c r="F111" s="209"/>
      <c r="G111" s="3"/>
      <c r="H111" s="3"/>
      <c r="I111" s="3"/>
      <c r="J111" s="3"/>
      <c r="K111" s="3"/>
      <c r="L111" s="3"/>
      <c r="M111" s="3"/>
      <c r="N111" s="3"/>
      <c r="O111" s="3"/>
      <c r="P111" s="3"/>
      <c r="Q111" s="3"/>
      <c r="R111" s="3"/>
      <c r="S111" s="3"/>
      <c r="T111" s="3"/>
      <c r="U111" s="3"/>
      <c r="V111" s="3"/>
      <c r="W111" s="3"/>
      <c r="X111" s="3"/>
      <c r="Y111" s="3"/>
      <c r="Z111" s="3"/>
    </row>
    <row r="112" spans="1:26" ht="13">
      <c r="A112" s="3"/>
      <c r="B112" s="3" t="s">
        <v>594</v>
      </c>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sheetData>
  <phoneticPr fontId="26" type="noConversion"/>
  <pageMargins left="0.75" right="0.75" top="1" bottom="1" header="0.5" footer="0.5"/>
  <pageSetup paperSize="9" orientation="portrait" horizontalDpi="4294967293" verticalDpi="0"/>
  <headerFooter alignWithMargins="0"/>
  <drawing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tabColor indexed="13"/>
  </sheetPr>
  <dimension ref="A1:AZ126"/>
  <sheetViews>
    <sheetView zoomScale="120" zoomScaleNormal="120" workbookViewId="0">
      <selection activeCell="E28" sqref="E28"/>
    </sheetView>
  </sheetViews>
  <sheetFormatPr defaultColWidth="8.81640625" defaultRowHeight="12.5"/>
  <cols>
    <col min="5" max="5" width="9.81640625" customWidth="1"/>
    <col min="9" max="9" width="10.54296875" customWidth="1"/>
    <col min="10" max="10" width="10.81640625" customWidth="1"/>
    <col min="15" max="15" width="17.81640625" customWidth="1"/>
    <col min="18" max="18" width="9.453125" bestFit="1" customWidth="1"/>
  </cols>
  <sheetData>
    <row r="1" spans="1:50" ht="18.5" thickBot="1">
      <c r="A1" s="125" t="s">
        <v>249</v>
      </c>
      <c r="B1" s="127"/>
      <c r="C1" s="127"/>
      <c r="D1" s="127"/>
      <c r="E1" s="127"/>
      <c r="F1" s="127"/>
      <c r="G1" s="611" t="str">
        <f>'Title Page'!F3</f>
        <v>OreSat - CS0</v>
      </c>
      <c r="H1" s="127"/>
      <c r="I1" s="127"/>
      <c r="J1" s="127"/>
      <c r="K1" s="610" t="str">
        <f>'Title Page'!F23</f>
        <v>2019 June 21</v>
      </c>
      <c r="L1" s="127"/>
      <c r="M1" s="127"/>
      <c r="N1" s="127"/>
      <c r="O1" s="127"/>
      <c r="P1" s="127"/>
      <c r="Q1" s="127"/>
      <c r="R1" s="127"/>
      <c r="S1" s="127"/>
      <c r="T1" s="127"/>
      <c r="U1" s="127"/>
      <c r="V1" s="127"/>
      <c r="W1" s="127"/>
      <c r="X1" s="127"/>
      <c r="Y1" s="127"/>
      <c r="Z1" s="127"/>
      <c r="AA1" s="127"/>
      <c r="AB1" s="127"/>
      <c r="AC1" s="127"/>
      <c r="AD1" s="127"/>
      <c r="AE1" s="127"/>
      <c r="AF1" s="127"/>
      <c r="AG1" s="127"/>
      <c r="AH1" s="127"/>
      <c r="AI1" s="127"/>
      <c r="AJ1" s="127"/>
      <c r="AK1" s="127"/>
      <c r="AL1" s="127"/>
      <c r="AM1" s="127"/>
      <c r="AN1" s="127"/>
      <c r="AO1" s="127"/>
      <c r="AP1" s="127"/>
      <c r="AQ1" s="127"/>
      <c r="AR1" s="127"/>
      <c r="AS1" s="127"/>
      <c r="AT1" s="127"/>
      <c r="AU1" s="127"/>
      <c r="AV1" s="127"/>
      <c r="AW1" s="127"/>
      <c r="AX1" s="127"/>
    </row>
    <row r="2" spans="1:50" ht="12.75" customHeight="1">
      <c r="A2" s="289"/>
      <c r="B2" s="86"/>
      <c r="C2" s="86"/>
      <c r="D2" s="86"/>
      <c r="E2" s="86"/>
      <c r="F2" s="86"/>
      <c r="G2" s="86"/>
      <c r="H2" s="86"/>
      <c r="I2" s="290"/>
      <c r="J2" s="101"/>
      <c r="K2" s="101"/>
      <c r="L2" s="101"/>
      <c r="M2" s="101"/>
      <c r="N2" s="101"/>
      <c r="O2" s="101"/>
      <c r="P2" s="101"/>
      <c r="Q2" s="101"/>
      <c r="R2" s="101"/>
      <c r="S2" s="101"/>
      <c r="T2" s="101"/>
      <c r="U2" s="101"/>
      <c r="V2" s="101"/>
      <c r="W2" s="3"/>
      <c r="X2" s="3"/>
      <c r="Y2" s="3"/>
      <c r="Z2" s="3"/>
      <c r="AA2" s="3"/>
      <c r="AB2" s="3"/>
      <c r="AC2" s="3"/>
      <c r="AD2" s="3"/>
      <c r="AE2" s="3"/>
      <c r="AF2" s="3"/>
      <c r="AG2" s="3"/>
      <c r="AH2" s="3"/>
      <c r="AI2" s="3"/>
      <c r="AJ2" s="3"/>
      <c r="AK2" s="3"/>
      <c r="AL2" s="3"/>
      <c r="AM2" s="3"/>
      <c r="AN2" s="3"/>
      <c r="AO2" s="3"/>
      <c r="AP2" s="3"/>
      <c r="AQ2" s="3"/>
      <c r="AR2" s="3"/>
      <c r="AS2" s="3"/>
      <c r="AT2" s="3"/>
      <c r="AU2" s="3"/>
      <c r="AV2" s="3"/>
      <c r="AW2" s="3"/>
      <c r="AX2" s="3"/>
    </row>
    <row r="3" spans="1:50">
      <c r="A3" s="233"/>
      <c r="B3" s="345" t="s">
        <v>140</v>
      </c>
      <c r="C3" s="245" t="s">
        <v>758</v>
      </c>
      <c r="D3" s="233"/>
      <c r="E3" s="233"/>
      <c r="F3" s="233"/>
      <c r="G3" s="245" t="s">
        <v>759</v>
      </c>
      <c r="H3" s="233"/>
      <c r="I3" s="87"/>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row>
    <row r="4" spans="1:50">
      <c r="A4" s="233"/>
      <c r="B4" s="233"/>
      <c r="C4" s="233"/>
      <c r="D4" s="233"/>
      <c r="E4" s="233"/>
      <c r="F4" s="233"/>
      <c r="G4" s="233"/>
      <c r="H4" s="233"/>
      <c r="I4" s="87"/>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row>
    <row r="5" spans="1:50">
      <c r="A5" s="233"/>
      <c r="B5" s="233"/>
      <c r="C5" s="233"/>
      <c r="D5" s="233"/>
      <c r="E5" s="233"/>
      <c r="F5" s="233"/>
      <c r="G5" s="233"/>
      <c r="H5" s="233"/>
      <c r="I5" s="87"/>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row>
    <row r="6" spans="1:50">
      <c r="A6" s="233"/>
      <c r="B6" s="233"/>
      <c r="C6" s="233"/>
      <c r="D6" s="233"/>
      <c r="E6" s="233" t="s">
        <v>130</v>
      </c>
      <c r="F6" s="233"/>
      <c r="G6" s="233"/>
      <c r="H6" s="233"/>
      <c r="I6" s="87"/>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row>
    <row r="7" spans="1:50">
      <c r="A7" s="233"/>
      <c r="B7" s="233"/>
      <c r="C7" s="233"/>
      <c r="D7" s="233"/>
      <c r="E7" s="245" t="s">
        <v>131</v>
      </c>
      <c r="F7" s="233"/>
      <c r="G7" s="233"/>
      <c r="H7" s="233"/>
      <c r="I7" s="87"/>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row>
    <row r="8" spans="1:50">
      <c r="A8" s="233"/>
      <c r="B8" s="233"/>
      <c r="C8" s="233"/>
      <c r="D8" s="233"/>
      <c r="E8" s="245" t="s">
        <v>261</v>
      </c>
      <c r="F8" s="233"/>
      <c r="G8" s="233"/>
      <c r="H8" s="233"/>
      <c r="I8" s="87"/>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row>
    <row r="9" spans="1:50">
      <c r="A9" s="233"/>
      <c r="B9" s="233"/>
      <c r="C9" s="233"/>
      <c r="D9" s="233"/>
      <c r="E9" s="233"/>
      <c r="F9" s="233"/>
      <c r="G9" s="233"/>
      <c r="H9" s="233"/>
      <c r="I9" s="87"/>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row>
    <row r="10" spans="1:50">
      <c r="A10" s="233"/>
      <c r="B10" s="233"/>
      <c r="C10" s="233"/>
      <c r="D10" s="233"/>
      <c r="E10" s="233"/>
      <c r="F10" s="233"/>
      <c r="G10" s="233"/>
      <c r="H10" s="233"/>
      <c r="I10" s="87"/>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row>
    <row r="11" spans="1:50">
      <c r="A11" s="233"/>
      <c r="B11" s="233"/>
      <c r="C11" s="233"/>
      <c r="D11" s="233"/>
      <c r="E11" s="233"/>
      <c r="F11" s="233"/>
      <c r="G11" s="233"/>
      <c r="H11" s="233"/>
      <c r="I11" s="87"/>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row>
    <row r="12" spans="1:50">
      <c r="A12" s="233"/>
      <c r="B12" s="233"/>
      <c r="C12" s="233"/>
      <c r="D12" s="233"/>
      <c r="E12" s="233"/>
      <c r="F12" s="233"/>
      <c r="G12" s="233"/>
      <c r="H12" s="233"/>
      <c r="I12" s="87"/>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row>
    <row r="13" spans="1:50">
      <c r="A13" s="233"/>
      <c r="B13" s="233"/>
      <c r="C13" s="233"/>
      <c r="D13" s="233"/>
      <c r="E13" s="233"/>
      <c r="F13" s="233"/>
      <c r="G13" s="233"/>
      <c r="H13" s="233"/>
      <c r="I13" s="87"/>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row>
    <row r="14" spans="1:50">
      <c r="A14" s="233"/>
      <c r="B14" s="233"/>
      <c r="C14" s="233"/>
      <c r="D14" s="233"/>
      <c r="E14" s="233"/>
      <c r="F14" s="233"/>
      <c r="G14" s="233"/>
      <c r="H14" s="233"/>
      <c r="I14" s="87"/>
      <c r="J14" s="3"/>
      <c r="K14" s="3"/>
      <c r="L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row>
    <row r="15" spans="1:50">
      <c r="A15" s="233"/>
      <c r="B15" s="233"/>
      <c r="C15" s="233"/>
      <c r="D15" s="233"/>
      <c r="E15" s="233"/>
      <c r="F15" s="233"/>
      <c r="G15" s="233"/>
      <c r="H15" s="233"/>
      <c r="I15" s="87"/>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row>
    <row r="16" spans="1:50">
      <c r="A16" s="233"/>
      <c r="B16" s="233"/>
      <c r="C16" s="233"/>
      <c r="D16" s="233"/>
      <c r="E16" s="233"/>
      <c r="F16" s="233"/>
      <c r="G16" s="233"/>
      <c r="H16" s="233"/>
      <c r="I16" s="87"/>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row>
    <row r="17" spans="1:50">
      <c r="A17" s="233"/>
      <c r="B17" s="233"/>
      <c r="C17" s="233"/>
      <c r="D17" s="233"/>
      <c r="E17" s="233"/>
      <c r="F17" s="233"/>
      <c r="G17" s="233"/>
      <c r="H17" s="233"/>
      <c r="I17" s="87"/>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row>
    <row r="18" spans="1:50">
      <c r="A18" s="233"/>
      <c r="B18" s="233"/>
      <c r="C18" s="233"/>
      <c r="D18" s="233"/>
      <c r="E18" s="233"/>
      <c r="F18" s="233"/>
      <c r="G18" s="233"/>
      <c r="H18" s="233"/>
      <c r="I18" s="87"/>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row>
    <row r="19" spans="1:50">
      <c r="A19" s="233"/>
      <c r="B19" s="233"/>
      <c r="C19" s="233"/>
      <c r="D19" s="233"/>
      <c r="E19" s="233"/>
      <c r="F19" s="233"/>
      <c r="G19" s="233"/>
      <c r="H19" s="233"/>
      <c r="I19" s="87"/>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row>
    <row r="20" spans="1:50">
      <c r="A20" s="233"/>
      <c r="B20" s="233"/>
      <c r="C20" s="233"/>
      <c r="D20" s="233"/>
      <c r="E20" s="233"/>
      <c r="F20" s="233"/>
      <c r="G20" s="233"/>
      <c r="H20" s="233"/>
      <c r="I20" s="87"/>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row>
    <row r="21" spans="1:50">
      <c r="A21" s="233"/>
      <c r="B21" s="233"/>
      <c r="C21" s="233"/>
      <c r="D21" s="233"/>
      <c r="E21" s="245" t="s">
        <v>132</v>
      </c>
      <c r="F21" s="233"/>
      <c r="G21" s="233"/>
      <c r="H21" s="233"/>
      <c r="I21" s="87"/>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row>
    <row r="22" spans="1:50">
      <c r="A22" s="233"/>
      <c r="B22" s="233"/>
      <c r="C22" s="233"/>
      <c r="D22" s="233"/>
      <c r="E22" s="233" t="s">
        <v>131</v>
      </c>
      <c r="F22" s="233"/>
      <c r="G22" s="233"/>
      <c r="H22" s="233"/>
      <c r="I22" s="87"/>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row>
    <row r="23" spans="1:50">
      <c r="A23" s="233"/>
      <c r="B23" s="233"/>
      <c r="C23" s="233"/>
      <c r="D23" s="233"/>
      <c r="E23" s="245" t="s">
        <v>137</v>
      </c>
      <c r="F23" s="233"/>
      <c r="G23" s="233"/>
      <c r="H23" s="233"/>
      <c r="I23" s="87"/>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row>
    <row r="24" spans="1:50">
      <c r="A24" s="233"/>
      <c r="B24" s="233"/>
      <c r="C24" s="233"/>
      <c r="D24" s="233"/>
      <c r="E24" s="233"/>
      <c r="F24" s="233"/>
      <c r="G24" s="233"/>
      <c r="H24" s="233"/>
      <c r="I24" s="87"/>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row>
    <row r="25" spans="1:50" ht="13">
      <c r="A25" s="233"/>
      <c r="B25" s="233"/>
      <c r="C25" s="394" t="s">
        <v>259</v>
      </c>
      <c r="D25" s="233"/>
      <c r="E25" s="233"/>
      <c r="F25" s="233"/>
      <c r="G25" s="394" t="s">
        <v>260</v>
      </c>
      <c r="H25" s="233"/>
      <c r="I25" s="87"/>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row>
    <row r="26" spans="1:50" ht="18.5" thickBot="1">
      <c r="A26" s="125" t="s">
        <v>606</v>
      </c>
      <c r="B26" s="127"/>
      <c r="C26" s="127"/>
      <c r="D26" s="127"/>
      <c r="E26" s="127"/>
      <c r="F26" s="127"/>
      <c r="G26" s="127"/>
      <c r="H26" s="127"/>
      <c r="I26" s="291"/>
      <c r="J26" s="127"/>
      <c r="K26" s="127"/>
      <c r="L26" s="127"/>
      <c r="M26" s="127"/>
      <c r="N26" s="127"/>
      <c r="O26" s="127"/>
      <c r="P26" s="127"/>
      <c r="Q26" s="127"/>
      <c r="R26" s="127"/>
      <c r="S26" s="127"/>
      <c r="T26" s="127"/>
      <c r="U26" s="127"/>
      <c r="V26" s="127"/>
      <c r="W26" s="127"/>
      <c r="X26" s="400" t="s">
        <v>269</v>
      </c>
      <c r="Y26" s="127"/>
      <c r="Z26" s="127"/>
      <c r="AA26" s="127"/>
      <c r="AB26" s="127"/>
      <c r="AC26" s="127"/>
      <c r="AD26" s="127"/>
      <c r="AE26" s="127"/>
      <c r="AF26" s="127"/>
      <c r="AG26" s="127"/>
      <c r="AH26" s="127"/>
      <c r="AI26" s="127"/>
      <c r="AJ26" s="127"/>
      <c r="AK26" s="127"/>
      <c r="AL26" s="127"/>
      <c r="AM26" s="127"/>
      <c r="AN26" s="127"/>
      <c r="AO26" s="127"/>
      <c r="AP26" s="127"/>
      <c r="AQ26" s="127"/>
      <c r="AR26" s="127"/>
      <c r="AS26" s="127"/>
      <c r="AT26" s="127"/>
      <c r="AU26" s="127"/>
      <c r="AV26" s="127"/>
      <c r="AW26" s="127"/>
      <c r="AX26" s="127"/>
    </row>
    <row r="27" spans="1:50">
      <c r="A27" s="3"/>
      <c r="B27" s="3"/>
      <c r="C27" s="3"/>
      <c r="D27" s="3"/>
      <c r="E27" s="3"/>
      <c r="F27" s="3"/>
      <c r="G27" s="3"/>
      <c r="H27" s="3"/>
      <c r="I27" s="3"/>
      <c r="J27" s="3"/>
      <c r="K27" s="3"/>
      <c r="L27" s="3"/>
      <c r="M27" s="3"/>
      <c r="N27" s="3"/>
      <c r="O27" s="3"/>
      <c r="P27" s="3"/>
      <c r="Q27" s="3"/>
      <c r="R27" s="3" t="s">
        <v>715</v>
      </c>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row>
    <row r="28" spans="1:50" ht="15.5">
      <c r="A28" s="272" t="s">
        <v>57</v>
      </c>
      <c r="B28" s="189"/>
      <c r="C28" s="190"/>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row>
    <row r="29" spans="1:50" ht="15.5">
      <c r="A29" s="558"/>
      <c r="B29" s="101"/>
      <c r="C29" s="101"/>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row>
    <row r="30" spans="1:50" ht="15.5">
      <c r="A30" s="558"/>
      <c r="B30" s="345" t="s">
        <v>140</v>
      </c>
      <c r="C30" s="101"/>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row>
    <row r="31" spans="1:50" ht="13" thickBot="1">
      <c r="A31" s="3"/>
      <c r="B31" s="3"/>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row>
    <row r="32" spans="1:50" ht="13.5" thickBot="1">
      <c r="A32" s="3"/>
      <c r="B32" s="187" t="s">
        <v>94</v>
      </c>
      <c r="C32" s="193"/>
      <c r="D32" s="180"/>
      <c r="E32" s="180"/>
      <c r="F32" s="180"/>
      <c r="G32" s="180" t="s">
        <v>715</v>
      </c>
      <c r="H32" s="180"/>
      <c r="I32" s="180"/>
      <c r="J32" s="180" t="s">
        <v>715</v>
      </c>
      <c r="K32" s="180"/>
      <c r="L32" s="181"/>
      <c r="M32" s="3"/>
      <c r="N32" s="3"/>
      <c r="O32" s="3"/>
      <c r="P32" s="3"/>
      <c r="Q32" s="3"/>
      <c r="R32" s="391" t="s">
        <v>140</v>
      </c>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row>
    <row r="33" spans="1:50" ht="13">
      <c r="A33" s="3"/>
      <c r="B33" s="178" t="s">
        <v>715</v>
      </c>
      <c r="C33" s="211"/>
      <c r="D33" s="213" t="s">
        <v>104</v>
      </c>
      <c r="E33" s="212" t="s">
        <v>753</v>
      </c>
      <c r="F33" s="243">
        <f>'Antenna Gain'!F8</f>
        <v>436.5</v>
      </c>
      <c r="G33" s="141" t="s">
        <v>754</v>
      </c>
      <c r="H33" s="141"/>
      <c r="I33" s="141"/>
      <c r="J33" s="141" t="s">
        <v>87</v>
      </c>
      <c r="K33" s="244">
        <f>'Antenna Gain'!K8</f>
        <v>0.6868270332187858</v>
      </c>
      <c r="L33" s="182" t="s">
        <v>755</v>
      </c>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row>
    <row r="34" spans="1:50">
      <c r="A34" s="3"/>
      <c r="B34" s="177"/>
      <c r="C34" s="141"/>
      <c r="D34" s="141"/>
      <c r="E34" s="141"/>
      <c r="F34" s="141"/>
      <c r="G34" s="141"/>
      <c r="H34" s="141"/>
      <c r="I34" s="141"/>
      <c r="J34" s="141"/>
      <c r="K34" s="141"/>
      <c r="L34" s="182"/>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row>
    <row r="35" spans="1:50" ht="13" thickBot="1">
      <c r="A35" s="3"/>
      <c r="B35" s="177"/>
      <c r="C35" s="141"/>
      <c r="D35" s="141"/>
      <c r="E35" s="141"/>
      <c r="F35" s="199" t="s">
        <v>257</v>
      </c>
      <c r="G35" s="141"/>
      <c r="H35" s="141"/>
      <c r="I35" s="141"/>
      <c r="J35" s="141"/>
      <c r="K35" s="141"/>
      <c r="L35" s="182"/>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row>
    <row r="36" spans="1:50" ht="13.5" thickBot="1">
      <c r="A36" s="3"/>
      <c r="B36" s="178" t="s">
        <v>715</v>
      </c>
      <c r="C36" s="141"/>
      <c r="D36" s="141"/>
      <c r="E36" s="279">
        <f>'Antenna Gain'!E11</f>
        <v>4</v>
      </c>
      <c r="F36" s="184" t="str">
        <f>'Antenna Gain'!F11</f>
        <v>Crossed Yagi</v>
      </c>
      <c r="G36" s="185"/>
      <c r="H36" s="141"/>
      <c r="I36" s="141"/>
      <c r="J36" s="141" t="s">
        <v>60</v>
      </c>
      <c r="K36" s="280" t="str">
        <f>'Antenna Gain'!K11</f>
        <v>RHCP</v>
      </c>
      <c r="L36" s="182"/>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row>
    <row r="37" spans="1:50" ht="13" thickBot="1">
      <c r="A37" s="3"/>
      <c r="B37" s="179"/>
      <c r="C37" s="146"/>
      <c r="D37" s="146"/>
      <c r="E37" s="146"/>
      <c r="F37" s="146"/>
      <c r="G37" s="146"/>
      <c r="H37" s="146"/>
      <c r="I37" s="146"/>
      <c r="J37" s="146"/>
      <c r="K37" s="146"/>
      <c r="L37" s="18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row>
    <row r="38" spans="1:50" ht="36" customHeight="1">
      <c r="A38" s="3"/>
      <c r="B38" s="269">
        <v>1</v>
      </c>
      <c r="C38" s="151" t="s">
        <v>77</v>
      </c>
      <c r="D38" s="265"/>
      <c r="E38" s="151"/>
      <c r="F38" s="268" t="s">
        <v>76</v>
      </c>
      <c r="G38" s="277">
        <f>'Antenna Gain'!N13</f>
        <v>16.3</v>
      </c>
      <c r="H38" s="151" t="s">
        <v>784</v>
      </c>
      <c r="I38" s="265" t="s">
        <v>61</v>
      </c>
      <c r="J38" s="273">
        <f>'Antenna Gain'!Q13</f>
        <v>30.621749233640596</v>
      </c>
      <c r="K38" s="151" t="s">
        <v>4</v>
      </c>
      <c r="L38" s="156"/>
      <c r="M38" s="3"/>
      <c r="N38" s="3"/>
      <c r="O38" s="3"/>
      <c r="P38" s="3"/>
      <c r="Q38" s="3"/>
      <c r="R38" s="392">
        <f>2*(F43*(79.76/INDEX(J38:J41,E36,1)))</f>
        <v>26.58666666666667</v>
      </c>
      <c r="S38" s="266"/>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row>
    <row r="39" spans="1:50" ht="36" customHeight="1">
      <c r="A39" s="3"/>
      <c r="B39" s="270">
        <v>2</v>
      </c>
      <c r="C39" s="158" t="s">
        <v>91</v>
      </c>
      <c r="D39" s="266"/>
      <c r="E39" s="158"/>
      <c r="F39" s="266" t="s">
        <v>59</v>
      </c>
      <c r="G39" s="276">
        <f>'Antenna Gain'!N14</f>
        <v>15.740312677277188</v>
      </c>
      <c r="H39" s="158" t="s">
        <v>784</v>
      </c>
      <c r="I39" s="266" t="s">
        <v>61</v>
      </c>
      <c r="J39" s="275">
        <f>'Antenna Gain'!Q14</f>
        <v>33.014178772157877</v>
      </c>
      <c r="K39" s="158" t="s">
        <v>4</v>
      </c>
      <c r="L39" s="164"/>
      <c r="M39" s="3"/>
      <c r="N39" s="3"/>
      <c r="O39" s="3"/>
      <c r="P39" s="3"/>
      <c r="Q39" s="3"/>
      <c r="R39" s="82"/>
      <c r="S39" s="84"/>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c r="AT39" s="3"/>
      <c r="AU39" s="3"/>
      <c r="AV39" s="3"/>
      <c r="AW39" s="3"/>
      <c r="AX39" s="3"/>
    </row>
    <row r="40" spans="1:50" ht="36" customHeight="1">
      <c r="A40" s="3"/>
      <c r="B40" s="271">
        <v>3</v>
      </c>
      <c r="C40" s="166" t="s">
        <v>92</v>
      </c>
      <c r="D40" s="267"/>
      <c r="E40" s="166"/>
      <c r="F40" s="267" t="s">
        <v>59</v>
      </c>
      <c r="G40" s="278">
        <f>'Antenna Gain'!N15</f>
        <v>25.251187052233579</v>
      </c>
      <c r="H40" s="166" t="s">
        <v>784</v>
      </c>
      <c r="I40" s="267" t="s">
        <v>61</v>
      </c>
      <c r="J40" s="274">
        <f>'Antenna Gain'!Q15</f>
        <v>8.9092528955071906</v>
      </c>
      <c r="K40" s="166" t="s">
        <v>4</v>
      </c>
      <c r="L40" s="170"/>
      <c r="M40" s="3"/>
      <c r="N40" s="3"/>
      <c r="O40" s="3"/>
      <c r="P40" s="3"/>
      <c r="Q40" s="3"/>
      <c r="R40" s="85"/>
      <c r="S40" s="87"/>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row>
    <row r="41" spans="1:50" ht="36" customHeight="1">
      <c r="A41" s="3"/>
      <c r="B41" s="281">
        <v>4</v>
      </c>
      <c r="C41" s="141" t="s">
        <v>93</v>
      </c>
      <c r="D41" s="181"/>
      <c r="E41" s="141"/>
      <c r="F41" s="182" t="s">
        <v>59</v>
      </c>
      <c r="G41" s="282">
        <f>'Antenna Gain'!N16</f>
        <v>15.5</v>
      </c>
      <c r="H41" s="141" t="s">
        <v>784</v>
      </c>
      <c r="I41" s="182" t="s">
        <v>61</v>
      </c>
      <c r="J41" s="283">
        <f>'Antenna Gain'!Q16</f>
        <v>30</v>
      </c>
      <c r="K41" s="141" t="s">
        <v>4</v>
      </c>
      <c r="L41" s="284"/>
      <c r="M41" s="3"/>
      <c r="N41" s="3"/>
      <c r="O41" s="3"/>
      <c r="P41" s="3"/>
      <c r="Q41" s="3"/>
      <c r="R41" s="85"/>
      <c r="S41" s="87"/>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row>
    <row r="42" spans="1:50">
      <c r="A42" s="3"/>
      <c r="B42" s="292"/>
      <c r="C42" s="293"/>
      <c r="D42" s="293"/>
      <c r="E42" s="293"/>
      <c r="F42" s="293"/>
      <c r="G42" s="293"/>
      <c r="H42" s="293"/>
      <c r="I42" s="293"/>
      <c r="J42" s="293"/>
      <c r="K42" s="293"/>
      <c r="L42" s="294"/>
      <c r="M42" s="3"/>
      <c r="N42" s="3"/>
      <c r="O42" s="3"/>
      <c r="P42" s="3"/>
      <c r="Q42" s="3"/>
      <c r="R42" s="85"/>
      <c r="S42" s="87"/>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3"/>
      <c r="AV42" s="3"/>
      <c r="AW42" s="3"/>
      <c r="AX42" s="3"/>
    </row>
    <row r="43" spans="1:50" ht="13">
      <c r="A43" s="3"/>
      <c r="B43" s="295" t="s">
        <v>715</v>
      </c>
      <c r="C43" s="296" t="s">
        <v>134</v>
      </c>
      <c r="D43" s="297"/>
      <c r="E43" s="297"/>
      <c r="F43" s="286">
        <v>5</v>
      </c>
      <c r="G43" s="287" t="s">
        <v>135</v>
      </c>
      <c r="H43" s="296" t="s">
        <v>133</v>
      </c>
      <c r="I43" s="297"/>
      <c r="J43" s="297"/>
      <c r="K43" s="285">
        <f>-10*LOG10(3282.81*((SIN(RADIANS(R38))^2/(R38^2))))</f>
        <v>0.31396976431536944</v>
      </c>
      <c r="L43" s="185" t="s">
        <v>757</v>
      </c>
      <c r="M43" s="3"/>
      <c r="N43" s="3"/>
      <c r="O43" s="3"/>
      <c r="P43" s="3"/>
      <c r="Q43" s="3"/>
      <c r="R43" s="85"/>
      <c r="S43" s="87"/>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c r="AT43" s="3"/>
      <c r="AU43" s="3"/>
      <c r="AV43" s="3"/>
      <c r="AW43" s="3"/>
      <c r="AX43" s="3"/>
    </row>
    <row r="44" spans="1:50">
      <c r="A44" s="3"/>
      <c r="B44" s="298"/>
      <c r="C44" s="299"/>
      <c r="D44" s="299"/>
      <c r="E44" s="299"/>
      <c r="F44" s="299"/>
      <c r="G44" s="299"/>
      <c r="H44" s="299"/>
      <c r="I44" s="299"/>
      <c r="J44" s="299"/>
      <c r="K44" s="299"/>
      <c r="L44" s="300"/>
      <c r="M44" s="3"/>
      <c r="N44" s="3"/>
      <c r="O44" s="3"/>
      <c r="P44" s="3"/>
      <c r="Q44" s="3"/>
      <c r="R44" s="85"/>
      <c r="S44" s="87"/>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row>
    <row r="45" spans="1:50">
      <c r="A45" s="3"/>
      <c r="B45" s="3"/>
      <c r="C45" s="3"/>
      <c r="D45" s="3"/>
      <c r="E45" s="3"/>
      <c r="F45" s="3"/>
      <c r="G45" s="3"/>
      <c r="H45" s="3" t="s">
        <v>715</v>
      </c>
      <c r="I45" s="3"/>
      <c r="J45" s="3"/>
      <c r="K45" s="3"/>
      <c r="L45" s="3"/>
      <c r="M45" s="3"/>
      <c r="N45" s="3"/>
      <c r="O45" s="3"/>
      <c r="P45" s="3"/>
      <c r="Q45" s="3"/>
      <c r="R45" s="85"/>
      <c r="S45" s="87"/>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c r="AT45" s="3"/>
      <c r="AU45" s="3"/>
      <c r="AV45" s="3"/>
      <c r="AW45" s="3"/>
      <c r="AX45" s="3"/>
    </row>
    <row r="46" spans="1:50">
      <c r="A46" s="3"/>
      <c r="B46" s="3"/>
      <c r="C46" s="3"/>
      <c r="D46" s="3"/>
      <c r="E46" s="3"/>
      <c r="F46" s="3"/>
      <c r="G46" s="3"/>
      <c r="H46" s="3"/>
      <c r="I46" s="3"/>
      <c r="J46" s="3"/>
      <c r="K46" s="3"/>
      <c r="L46" s="3"/>
      <c r="M46" s="3"/>
      <c r="N46" s="3"/>
      <c r="O46" s="3" t="s">
        <v>715</v>
      </c>
      <c r="P46" s="3"/>
      <c r="Q46" s="3"/>
      <c r="R46" s="85"/>
      <c r="S46" s="87"/>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c r="AT46" s="3"/>
      <c r="AU46" s="3"/>
      <c r="AV46" s="3"/>
      <c r="AW46" s="3"/>
      <c r="AX46" s="3"/>
    </row>
    <row r="47" spans="1:50">
      <c r="A47" s="3"/>
      <c r="B47" s="3"/>
      <c r="C47" s="3"/>
      <c r="D47" s="3"/>
      <c r="E47" s="3"/>
      <c r="F47" s="3"/>
      <c r="G47" s="3"/>
      <c r="H47" s="3"/>
      <c r="I47" s="3"/>
      <c r="J47" s="3"/>
      <c r="K47" s="3"/>
      <c r="L47" s="3"/>
      <c r="M47" s="3"/>
      <c r="N47" s="3"/>
      <c r="O47" s="3"/>
      <c r="P47" s="3"/>
      <c r="Q47" s="3"/>
      <c r="R47" s="85"/>
      <c r="S47" s="87"/>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row>
    <row r="48" spans="1:50" ht="13" thickBot="1">
      <c r="A48" s="3"/>
      <c r="B48" s="3"/>
      <c r="C48" s="3"/>
      <c r="D48" s="3"/>
      <c r="E48" s="3"/>
      <c r="F48" s="3"/>
      <c r="G48" s="3"/>
      <c r="H48" s="3"/>
      <c r="I48" s="3"/>
      <c r="J48" s="3"/>
      <c r="K48" s="3"/>
      <c r="L48" s="3"/>
      <c r="M48" s="3"/>
      <c r="N48" s="3"/>
      <c r="O48" s="3"/>
      <c r="P48" s="3"/>
      <c r="Q48" s="3"/>
      <c r="R48" s="88"/>
      <c r="S48" s="90"/>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row>
    <row r="49" spans="1:50" ht="13.5" thickBot="1">
      <c r="A49" s="3"/>
      <c r="B49" s="187" t="s">
        <v>103</v>
      </c>
      <c r="C49" s="193"/>
      <c r="D49" s="180"/>
      <c r="E49" s="180"/>
      <c r="F49" s="180"/>
      <c r="G49" s="180"/>
      <c r="H49" s="180"/>
      <c r="I49" s="180"/>
      <c r="J49" s="180"/>
      <c r="K49" s="180"/>
      <c r="L49" s="181"/>
      <c r="M49" s="3"/>
      <c r="N49" s="3"/>
      <c r="O49" s="3"/>
      <c r="P49" s="3"/>
      <c r="Q49" s="3"/>
      <c r="R49" s="320"/>
      <c r="S49" s="181"/>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c r="AT49" s="3"/>
      <c r="AU49" s="3"/>
      <c r="AV49" s="3"/>
      <c r="AW49" s="3"/>
      <c r="AX49" s="3"/>
    </row>
    <row r="50" spans="1:50">
      <c r="A50" s="3"/>
      <c r="B50" s="177"/>
      <c r="C50" s="141"/>
      <c r="D50" s="142" t="s">
        <v>104</v>
      </c>
      <c r="E50" s="141" t="s">
        <v>753</v>
      </c>
      <c r="F50" s="241">
        <f>'Antenna Gain'!F22</f>
        <v>436.5</v>
      </c>
      <c r="G50" s="141" t="s">
        <v>754</v>
      </c>
      <c r="H50" s="141"/>
      <c r="I50" s="141"/>
      <c r="J50" s="141" t="s">
        <v>87</v>
      </c>
      <c r="K50" s="242">
        <f>'Antenna Gain'!K22</f>
        <v>0.6868270332187858</v>
      </c>
      <c r="L50" s="182" t="s">
        <v>755</v>
      </c>
      <c r="M50" s="3"/>
      <c r="N50" s="3"/>
      <c r="O50" s="3"/>
      <c r="P50" s="3"/>
      <c r="Q50" s="3"/>
      <c r="R50" s="388" t="s">
        <v>142</v>
      </c>
      <c r="S50" s="325"/>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c r="AT50" s="3"/>
      <c r="AU50" s="3"/>
      <c r="AV50" s="3"/>
      <c r="AW50" s="3"/>
      <c r="AX50" s="3"/>
    </row>
    <row r="51" spans="1:50" ht="13" thickBot="1">
      <c r="A51" s="3"/>
      <c r="B51" s="177"/>
      <c r="C51" s="141"/>
      <c r="D51" s="141" t="s">
        <v>715</v>
      </c>
      <c r="E51" s="141" t="s">
        <v>715</v>
      </c>
      <c r="F51" s="199" t="s">
        <v>257</v>
      </c>
      <c r="G51" s="141"/>
      <c r="H51" s="141"/>
      <c r="I51" s="141"/>
      <c r="J51" s="141"/>
      <c r="K51" s="141"/>
      <c r="L51" s="182"/>
      <c r="M51" s="3"/>
      <c r="N51" s="3"/>
      <c r="O51" s="3"/>
      <c r="P51" s="3"/>
      <c r="Q51" s="3"/>
      <c r="R51" s="324"/>
      <c r="S51" s="325"/>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c r="AU51" s="3"/>
      <c r="AV51" s="3"/>
      <c r="AW51" s="3"/>
      <c r="AX51" s="3"/>
    </row>
    <row r="52" spans="1:50" ht="13.5" thickBot="1">
      <c r="A52" s="3"/>
      <c r="B52" s="178" t="s">
        <v>715</v>
      </c>
      <c r="C52" s="141"/>
      <c r="D52" s="141"/>
      <c r="E52" s="317">
        <f>'Antenna Gain'!E24</f>
        <v>7</v>
      </c>
      <c r="F52" s="315" t="str">
        <f>'Antenna Gain'!F24</f>
        <v>Canted Turnstyle (back)</v>
      </c>
      <c r="G52" s="185"/>
      <c r="H52" s="141"/>
      <c r="I52" s="141"/>
      <c r="J52" s="141" t="s">
        <v>60</v>
      </c>
      <c r="K52" s="280" t="str">
        <f>'Antenna Gain'!K24</f>
        <v>RHCP</v>
      </c>
      <c r="L52" s="182"/>
      <c r="M52" s="3"/>
      <c r="N52" s="3"/>
      <c r="O52" s="398" t="s">
        <v>267</v>
      </c>
      <c r="P52" s="3"/>
      <c r="Q52" s="3"/>
      <c r="R52" s="388" t="s">
        <v>141</v>
      </c>
      <c r="S52" s="325"/>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c r="AT52" s="3"/>
      <c r="AU52" s="3"/>
      <c r="AV52" s="3"/>
      <c r="AW52" s="3"/>
      <c r="AX52" s="3"/>
    </row>
    <row r="53" spans="1:50" ht="13" thickBot="1">
      <c r="A53" s="3"/>
      <c r="B53" s="177"/>
      <c r="C53" s="141"/>
      <c r="D53" s="141"/>
      <c r="E53" s="141"/>
      <c r="F53" s="141" t="s">
        <v>715</v>
      </c>
      <c r="G53" s="141"/>
      <c r="H53" s="141"/>
      <c r="I53" s="141"/>
      <c r="J53" s="141"/>
      <c r="K53" s="141"/>
      <c r="L53" s="182"/>
      <c r="M53" s="3"/>
      <c r="N53" s="3"/>
      <c r="O53" s="399" t="s">
        <v>268</v>
      </c>
      <c r="P53" s="3"/>
      <c r="Q53" s="3"/>
      <c r="R53" s="235" t="s">
        <v>715</v>
      </c>
      <c r="S53" s="237"/>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row>
    <row r="54" spans="1:50" ht="24.75" customHeight="1">
      <c r="A54" s="3"/>
      <c r="B54" s="137">
        <v>1</v>
      </c>
      <c r="C54" s="138" t="s">
        <v>95</v>
      </c>
      <c r="D54" s="138"/>
      <c r="E54" s="138"/>
      <c r="F54" s="138"/>
      <c r="G54" s="138" t="s">
        <v>59</v>
      </c>
      <c r="H54" s="138">
        <f>'Antenna Gain'!H26</f>
        <v>2.15</v>
      </c>
      <c r="I54" s="138" t="s">
        <v>63</v>
      </c>
      <c r="J54" s="138" t="s">
        <v>61</v>
      </c>
      <c r="K54" s="138">
        <f>'Antenna Gain'!L26</f>
        <v>156.19999999999999</v>
      </c>
      <c r="L54" s="139" t="s">
        <v>4</v>
      </c>
      <c r="M54" s="123"/>
      <c r="N54" s="124"/>
      <c r="O54" s="397" t="s">
        <v>262</v>
      </c>
      <c r="P54" s="537" t="s">
        <v>566</v>
      </c>
      <c r="Q54" s="538"/>
      <c r="R54" s="322">
        <f>IF(G63&lt;100,-10*LOG10(COS(RADIANS(90-G63))),"No Signal")</f>
        <v>4.6594831535448265</v>
      </c>
      <c r="S54" s="323" t="s">
        <v>757</v>
      </c>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c r="AU54" s="3"/>
      <c r="AV54" s="3"/>
      <c r="AW54" s="3"/>
      <c r="AX54" s="3"/>
    </row>
    <row r="55" spans="1:50" ht="24.75" customHeight="1">
      <c r="A55" s="3"/>
      <c r="B55" s="140">
        <v>2</v>
      </c>
      <c r="C55" s="141" t="s">
        <v>96</v>
      </c>
      <c r="D55" s="141"/>
      <c r="E55" s="141"/>
      <c r="F55" s="141"/>
      <c r="G55" s="141" t="s">
        <v>59</v>
      </c>
      <c r="H55" s="141">
        <f>'Antenna Gain'!H27</f>
        <v>2.15</v>
      </c>
      <c r="I55" s="141" t="s">
        <v>63</v>
      </c>
      <c r="J55" s="141" t="s">
        <v>61</v>
      </c>
      <c r="K55" s="141">
        <f>'Antenna Gain'!L27</f>
        <v>156.19999999999999</v>
      </c>
      <c r="L55" s="143" t="s">
        <v>4</v>
      </c>
      <c r="M55" s="123"/>
      <c r="N55" s="124"/>
      <c r="O55" s="396" t="s">
        <v>263</v>
      </c>
      <c r="P55" s="537" t="s">
        <v>567</v>
      </c>
      <c r="Q55" s="538"/>
      <c r="R55" s="318">
        <f>IF(G63&lt;90.001,-10*LOG10(COS(RADIANS($G$63))),-10*LOG(-COS(RADIANS($G$63))))</f>
        <v>0.27014183557063515</v>
      </c>
      <c r="S55" s="182" t="s">
        <v>757</v>
      </c>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3"/>
      <c r="AV55" s="3"/>
      <c r="AW55" s="3"/>
      <c r="AX55" s="3"/>
    </row>
    <row r="56" spans="1:50" ht="25.5" customHeight="1">
      <c r="A56" s="3"/>
      <c r="B56" s="144">
        <v>3</v>
      </c>
      <c r="C56" s="98" t="s">
        <v>97</v>
      </c>
      <c r="D56" s="98"/>
      <c r="E56" s="98"/>
      <c r="F56" s="98"/>
      <c r="G56" s="98" t="s">
        <v>59</v>
      </c>
      <c r="H56" s="301">
        <f>'Antenna Gain'!H28</f>
        <v>2</v>
      </c>
      <c r="I56" s="98" t="s">
        <v>784</v>
      </c>
      <c r="J56" s="98" t="s">
        <v>61</v>
      </c>
      <c r="K56" s="98">
        <f>'Antenna Gain'!L28</f>
        <v>180</v>
      </c>
      <c r="L56" s="99" t="s">
        <v>4</v>
      </c>
      <c r="M56" s="123"/>
      <c r="N56" s="124"/>
      <c r="O56" s="395" t="s">
        <v>266</v>
      </c>
      <c r="P56" s="537" t="s">
        <v>568</v>
      </c>
      <c r="Q56" s="538"/>
      <c r="R56" s="666">
        <f>IF(K52=K36,0.00075*(G63)^2, 0.00075*(180-G63)^2)</f>
        <v>0.3</v>
      </c>
      <c r="S56" s="323" t="s">
        <v>757</v>
      </c>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c r="AV56" s="3"/>
      <c r="AW56" s="3"/>
      <c r="AX56" s="3"/>
    </row>
    <row r="57" spans="1:50" ht="24.75" customHeight="1">
      <c r="A57" s="3"/>
      <c r="B57" s="140">
        <v>4</v>
      </c>
      <c r="C57" s="141" t="s">
        <v>98</v>
      </c>
      <c r="D57" s="141"/>
      <c r="E57" s="192" t="s">
        <v>67</v>
      </c>
      <c r="F57" s="141" t="s">
        <v>68</v>
      </c>
      <c r="G57" s="141" t="s">
        <v>59</v>
      </c>
      <c r="H57" s="302">
        <f>'Antenna Gain'!H29</f>
        <v>4</v>
      </c>
      <c r="I57" s="141" t="s">
        <v>784</v>
      </c>
      <c r="J57" s="141" t="s">
        <v>61</v>
      </c>
      <c r="K57" s="141">
        <f>'Antenna Gain'!L29</f>
        <v>150</v>
      </c>
      <c r="L57" s="143" t="s">
        <v>4</v>
      </c>
      <c r="M57" s="123"/>
      <c r="N57" s="124"/>
      <c r="O57" s="396" t="s">
        <v>264</v>
      </c>
      <c r="P57" s="537" t="s">
        <v>569</v>
      </c>
      <c r="Q57" s="538"/>
      <c r="R57" s="318">
        <f>-1.5*(-(4-10*LOG10(1.256*(1+COS(RADIANS(G63))))))</f>
        <v>0.19916170492455665</v>
      </c>
      <c r="S57" s="182" t="s">
        <v>757</v>
      </c>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c r="AT57" s="3"/>
      <c r="AU57" s="3"/>
      <c r="AV57" s="3"/>
      <c r="AW57" s="3"/>
      <c r="AX57" s="3"/>
    </row>
    <row r="58" spans="1:50" ht="24.75" customHeight="1">
      <c r="A58" s="3"/>
      <c r="B58" s="144">
        <v>5</v>
      </c>
      <c r="C58" s="661" t="s">
        <v>186</v>
      </c>
      <c r="D58" s="98"/>
      <c r="E58" s="662" t="s">
        <v>715</v>
      </c>
      <c r="F58" s="98"/>
      <c r="G58" s="98" t="s">
        <v>59</v>
      </c>
      <c r="H58" s="663">
        <f>'Antenna Gain'!H30</f>
        <v>6</v>
      </c>
      <c r="I58" s="98" t="s">
        <v>190</v>
      </c>
      <c r="J58" s="98" t="s">
        <v>61</v>
      </c>
      <c r="K58" s="661">
        <f>'Antenna Gain'!L30</f>
        <v>90</v>
      </c>
      <c r="L58" s="99" t="s">
        <v>4</v>
      </c>
      <c r="M58" s="118"/>
      <c r="N58" s="119"/>
      <c r="O58" s="395" t="s">
        <v>265</v>
      </c>
      <c r="P58" s="537" t="s">
        <v>869</v>
      </c>
      <c r="Q58" s="538"/>
      <c r="R58" s="664">
        <f>-10*LOG10(3282.81*((SIN(RADIANS(G63*1.7724))^2)/((G63*1.7724)^2)))</f>
        <v>0.56135879700097513</v>
      </c>
      <c r="S58" s="665" t="s">
        <v>757</v>
      </c>
      <c r="T58" s="3"/>
      <c r="U58" s="3"/>
      <c r="V58" s="3"/>
      <c r="W58" s="3"/>
      <c r="X58" s="3" t="s">
        <v>715</v>
      </c>
      <c r="Y58" s="3"/>
      <c r="Z58" s="3"/>
      <c r="AA58" s="3"/>
      <c r="AB58" s="3"/>
      <c r="AC58" s="3"/>
      <c r="AD58" s="3"/>
      <c r="AE58" s="3"/>
      <c r="AF58" s="3"/>
      <c r="AG58" s="3"/>
      <c r="AH58" s="3"/>
      <c r="AI58" s="3"/>
      <c r="AJ58" s="3"/>
      <c r="AK58" s="3"/>
      <c r="AL58" s="3"/>
      <c r="AM58" s="3"/>
      <c r="AN58" s="3"/>
      <c r="AO58" s="3"/>
      <c r="AP58" s="3"/>
      <c r="AQ58" s="3"/>
      <c r="AR58" s="3"/>
      <c r="AS58" s="3"/>
      <c r="AT58" s="3"/>
      <c r="AU58" s="3"/>
      <c r="AV58" s="3"/>
      <c r="AW58" s="3"/>
      <c r="AX58" s="3"/>
    </row>
    <row r="59" spans="1:50" ht="24.75" customHeight="1">
      <c r="A59" s="3"/>
      <c r="B59" s="140">
        <v>6</v>
      </c>
      <c r="C59" s="659" t="s">
        <v>92</v>
      </c>
      <c r="D59" s="141"/>
      <c r="E59" s="668" t="s">
        <v>867</v>
      </c>
      <c r="F59" s="141"/>
      <c r="G59" s="141" t="s">
        <v>59</v>
      </c>
      <c r="H59" s="283">
        <f>'Antenna Gain'!H31</f>
        <v>25.251187052233579</v>
      </c>
      <c r="I59" s="141" t="s">
        <v>190</v>
      </c>
      <c r="J59" s="141" t="s">
        <v>61</v>
      </c>
      <c r="K59" s="365">
        <f>'Antenna Gain'!L31</f>
        <v>8.9092528955071906</v>
      </c>
      <c r="L59" s="143" t="s">
        <v>4</v>
      </c>
      <c r="M59" s="123"/>
      <c r="N59" s="123"/>
      <c r="O59" s="672" t="s">
        <v>866</v>
      </c>
      <c r="P59" s="673" t="s">
        <v>870</v>
      </c>
      <c r="Q59" s="538"/>
      <c r="R59" s="365">
        <f>-10*LOG10(3282.1*((SIN(RADIANS(U59))^2/(U59^2))))</f>
        <v>45.50575599564646</v>
      </c>
      <c r="S59" s="667" t="s">
        <v>757</v>
      </c>
      <c r="T59" s="3"/>
      <c r="U59" s="670">
        <f>2*(G63*(79.76/K59))</f>
        <v>358.09961142857151</v>
      </c>
      <c r="V59" s="3"/>
      <c r="W59" s="3"/>
      <c r="X59" s="3"/>
      <c r="Y59" s="3"/>
      <c r="Z59" s="3"/>
      <c r="AA59" s="3"/>
      <c r="AB59" s="3"/>
      <c r="AC59" s="3"/>
      <c r="AD59" s="3"/>
      <c r="AE59" s="3"/>
      <c r="AF59" s="3"/>
      <c r="AG59" s="3"/>
      <c r="AH59" s="3"/>
      <c r="AI59" s="3"/>
      <c r="AJ59" s="3"/>
      <c r="AK59" s="3"/>
      <c r="AL59" s="3"/>
      <c r="AM59" s="3"/>
      <c r="AN59" s="3"/>
      <c r="AO59" s="3"/>
      <c r="AP59" s="3"/>
      <c r="AQ59" s="3"/>
      <c r="AR59" s="3"/>
      <c r="AS59" s="3"/>
      <c r="AT59" s="3"/>
      <c r="AU59" s="3"/>
      <c r="AV59" s="3"/>
      <c r="AW59" s="3"/>
      <c r="AX59" s="3"/>
    </row>
    <row r="60" spans="1:50" ht="24.75" customHeight="1" thickBot="1">
      <c r="A60" s="3"/>
      <c r="B60" s="197">
        <v>7</v>
      </c>
      <c r="C60" s="304" t="s">
        <v>99</v>
      </c>
      <c r="D60" s="195"/>
      <c r="E60" s="669" t="s">
        <v>868</v>
      </c>
      <c r="F60" s="195"/>
      <c r="G60" s="195" t="s">
        <v>59</v>
      </c>
      <c r="H60" s="303">
        <f>'Antenna Gain'!H32</f>
        <v>1.4</v>
      </c>
      <c r="I60" s="195" t="s">
        <v>36</v>
      </c>
      <c r="J60" s="195" t="s">
        <v>61</v>
      </c>
      <c r="K60" s="304">
        <f>'Antenna Gain'!L32</f>
        <v>180</v>
      </c>
      <c r="L60" s="196" t="s">
        <v>4</v>
      </c>
      <c r="M60" s="123"/>
      <c r="N60" s="123"/>
      <c r="O60" s="671" t="s">
        <v>191</v>
      </c>
      <c r="P60" s="673" t="s">
        <v>871</v>
      </c>
      <c r="Q60" s="538"/>
      <c r="R60" s="368">
        <v>0.3</v>
      </c>
      <c r="S60" s="287" t="s">
        <v>757</v>
      </c>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row>
    <row r="61" spans="1:50">
      <c r="A61" s="3"/>
      <c r="B61" s="306"/>
      <c r="C61" s="307"/>
      <c r="D61" s="307"/>
      <c r="E61" s="307"/>
      <c r="F61" s="307"/>
      <c r="G61" s="307"/>
      <c r="H61" s="307"/>
      <c r="I61" s="307"/>
      <c r="J61" s="307"/>
      <c r="K61" s="307"/>
      <c r="L61" s="308"/>
      <c r="M61" s="3"/>
      <c r="N61" s="3"/>
      <c r="O61" s="3"/>
      <c r="P61" s="3"/>
      <c r="Q61" s="3"/>
      <c r="R61" s="85"/>
      <c r="S61" s="87"/>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c r="AT61" s="3"/>
      <c r="AU61" s="3"/>
      <c r="AV61" s="3"/>
      <c r="AW61" s="3"/>
      <c r="AX61" s="3"/>
    </row>
    <row r="62" spans="1:50" ht="13">
      <c r="A62" s="3"/>
      <c r="B62" s="309"/>
      <c r="C62" s="296" t="s">
        <v>424</v>
      </c>
      <c r="D62" s="296"/>
      <c r="E62" s="296"/>
      <c r="F62" s="296"/>
      <c r="G62" s="297"/>
      <c r="H62" s="297"/>
      <c r="I62" s="310" t="s">
        <v>138</v>
      </c>
      <c r="J62" s="310"/>
      <c r="K62" s="297"/>
      <c r="L62" s="311"/>
      <c r="M62" s="3"/>
      <c r="N62" s="3"/>
      <c r="O62" s="3"/>
      <c r="P62" s="3"/>
      <c r="Q62" s="3"/>
      <c r="R62" s="85"/>
      <c r="S62" s="87"/>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c r="AT62" s="3"/>
      <c r="AU62" s="3"/>
      <c r="AV62" s="3"/>
      <c r="AW62" s="3"/>
      <c r="AX62" s="3"/>
    </row>
    <row r="63" spans="1:50" ht="13">
      <c r="A63" s="3"/>
      <c r="B63" s="309"/>
      <c r="C63" s="296" t="s">
        <v>143</v>
      </c>
      <c r="D63" s="296"/>
      <c r="E63" s="296"/>
      <c r="F63" s="296"/>
      <c r="G63" s="321">
        <v>20</v>
      </c>
      <c r="H63" s="287" t="s">
        <v>4</v>
      </c>
      <c r="I63" s="310" t="s">
        <v>139</v>
      </c>
      <c r="J63" s="310"/>
      <c r="K63" s="285">
        <f>INDEX(R54:R60,E52, 1)</f>
        <v>0.3</v>
      </c>
      <c r="L63" s="305" t="s">
        <v>757</v>
      </c>
      <c r="M63" s="3"/>
      <c r="N63" s="3"/>
      <c r="O63" s="3"/>
      <c r="P63" s="3"/>
      <c r="Q63" s="3"/>
      <c r="R63" s="85"/>
      <c r="S63" s="87"/>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c r="AT63" s="3"/>
      <c r="AU63" s="3"/>
      <c r="AV63" s="3"/>
      <c r="AW63" s="3"/>
      <c r="AX63" s="3"/>
    </row>
    <row r="64" spans="1:50" ht="13" thickBot="1">
      <c r="A64" s="3"/>
      <c r="B64" s="312"/>
      <c r="C64" s="313"/>
      <c r="D64" s="313"/>
      <c r="E64" s="313"/>
      <c r="F64" s="313"/>
      <c r="G64" s="316"/>
      <c r="H64" s="313"/>
      <c r="I64" s="313"/>
      <c r="J64" s="313"/>
      <c r="K64" s="313"/>
      <c r="L64" s="314"/>
      <c r="M64" s="3" t="s">
        <v>715</v>
      </c>
      <c r="N64" s="3" t="s">
        <v>715</v>
      </c>
      <c r="O64" s="3"/>
      <c r="P64" s="3"/>
      <c r="Q64" s="3"/>
      <c r="R64" s="85"/>
      <c r="S64" s="87"/>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c r="AT64" s="3"/>
      <c r="AU64" s="3"/>
      <c r="AV64" s="3"/>
      <c r="AW64" s="3"/>
      <c r="AX64" s="3"/>
    </row>
    <row r="65" spans="1:52">
      <c r="A65" s="3"/>
      <c r="B65" s="3"/>
      <c r="C65" s="3"/>
      <c r="D65" s="3"/>
      <c r="E65" s="3"/>
      <c r="F65" s="3"/>
      <c r="G65" s="3"/>
      <c r="H65" s="3"/>
      <c r="I65" s="3"/>
      <c r="J65" s="3"/>
      <c r="K65" s="3"/>
      <c r="L65" s="3"/>
      <c r="M65" s="3"/>
      <c r="N65" s="3"/>
      <c r="O65" s="3"/>
      <c r="P65" s="3"/>
      <c r="Q65" s="3"/>
      <c r="R65" s="85"/>
      <c r="S65" s="87"/>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row>
    <row r="66" spans="1:52">
      <c r="A66" s="3"/>
      <c r="B66" s="3"/>
      <c r="C66" s="3"/>
      <c r="D66" s="3"/>
      <c r="E66" s="3"/>
      <c r="F66" s="3"/>
      <c r="G66" s="3"/>
      <c r="H66" s="3"/>
      <c r="I66" s="3"/>
      <c r="J66" s="3"/>
      <c r="K66" s="3"/>
      <c r="L66" s="3"/>
      <c r="M66" s="3"/>
      <c r="N66" s="3"/>
      <c r="O66" s="3"/>
      <c r="P66" s="3"/>
      <c r="Q66" s="3"/>
      <c r="R66" s="85"/>
      <c r="S66" s="87"/>
      <c r="T66" s="3"/>
      <c r="U66" s="3"/>
      <c r="V66" s="3"/>
      <c r="W66" s="3"/>
      <c r="X66" s="3"/>
      <c r="Y66" s="3"/>
      <c r="Z66" s="3"/>
      <c r="AA66" s="3"/>
      <c r="AB66" s="3"/>
      <c r="AC66" s="3"/>
      <c r="AD66" s="3"/>
      <c r="AE66" s="3"/>
      <c r="AF66" s="3"/>
      <c r="AG66" s="3"/>
      <c r="AH66" s="3"/>
      <c r="AI66" s="3"/>
      <c r="AJ66" s="3"/>
      <c r="AK66" s="3"/>
      <c r="AL66" s="3"/>
      <c r="AM66" s="3"/>
      <c r="AN66" s="3"/>
      <c r="AO66" s="3"/>
      <c r="AP66" s="3"/>
      <c r="AQ66" s="3"/>
      <c r="AR66" s="3"/>
      <c r="AS66" s="3"/>
      <c r="AT66" s="3"/>
      <c r="AU66" s="3"/>
      <c r="AV66" s="3"/>
      <c r="AW66" s="3"/>
      <c r="AX66" s="3"/>
    </row>
    <row r="67" spans="1:52" ht="15.5">
      <c r="A67" s="37"/>
      <c r="B67" s="37"/>
      <c r="C67" s="389" t="s">
        <v>101</v>
      </c>
      <c r="D67" s="37"/>
      <c r="E67" s="37"/>
      <c r="F67" s="37"/>
      <c r="G67" s="37"/>
      <c r="H67" s="37"/>
      <c r="I67" s="37"/>
      <c r="J67" s="389" t="s">
        <v>102</v>
      </c>
      <c r="K67" s="37"/>
      <c r="L67" s="37"/>
      <c r="M67" s="37"/>
      <c r="N67" s="37"/>
      <c r="O67" s="37"/>
      <c r="P67" s="37"/>
      <c r="Q67" s="37"/>
      <c r="R67" s="85"/>
      <c r="S67" s="87"/>
      <c r="T67" s="37"/>
      <c r="U67" s="37"/>
      <c r="V67" s="37"/>
      <c r="W67" s="37"/>
      <c r="X67" s="37"/>
      <c r="Y67" s="37"/>
      <c r="Z67" s="37"/>
      <c r="AA67" s="37"/>
      <c r="AB67" s="37"/>
      <c r="AC67" s="37"/>
      <c r="AD67" s="37"/>
      <c r="AE67" s="37"/>
      <c r="AF67" s="37"/>
      <c r="AG67" s="37"/>
      <c r="AH67" s="37"/>
      <c r="AI67" s="37"/>
      <c r="AJ67" s="37"/>
      <c r="AK67" s="37"/>
      <c r="AL67" s="37"/>
      <c r="AM67" s="37"/>
      <c r="AN67" s="37"/>
      <c r="AO67" s="37"/>
      <c r="AP67" s="37"/>
      <c r="AQ67" s="37"/>
      <c r="AR67" s="37"/>
      <c r="AS67" s="37"/>
      <c r="AT67" s="37"/>
      <c r="AU67" s="37"/>
      <c r="AV67" s="37"/>
      <c r="AW67" s="37"/>
      <c r="AX67" s="37"/>
      <c r="AY67" s="135"/>
      <c r="AZ67" s="135"/>
    </row>
    <row r="68" spans="1:52">
      <c r="A68" s="3"/>
      <c r="B68" s="3"/>
      <c r="C68" s="3"/>
      <c r="D68" s="3"/>
      <c r="E68" s="3"/>
      <c r="F68" s="3"/>
      <c r="G68" s="3"/>
      <c r="H68" s="3"/>
      <c r="I68" s="3"/>
      <c r="J68" s="3"/>
      <c r="K68" s="3"/>
      <c r="L68" s="3"/>
      <c r="M68" s="3"/>
      <c r="N68" s="3"/>
      <c r="O68" s="3"/>
      <c r="P68" s="3"/>
      <c r="Q68" s="3"/>
      <c r="R68" s="85"/>
      <c r="S68" s="87"/>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c r="AU68" s="3"/>
      <c r="AV68" s="3"/>
      <c r="AW68" s="3"/>
    </row>
    <row r="69" spans="1:52" ht="15.5">
      <c r="A69" s="272" t="s">
        <v>251</v>
      </c>
      <c r="B69" s="189"/>
      <c r="C69" s="189"/>
      <c r="D69" s="190"/>
      <c r="E69" s="3"/>
      <c r="F69" s="3"/>
      <c r="G69" s="3"/>
      <c r="H69" s="3"/>
      <c r="I69" s="3"/>
      <c r="J69" s="3"/>
      <c r="K69" s="3"/>
      <c r="L69" s="3"/>
      <c r="M69" s="3"/>
      <c r="N69" s="3"/>
      <c r="O69" s="3"/>
      <c r="P69" s="3"/>
      <c r="Q69" s="3"/>
      <c r="R69" s="85"/>
      <c r="S69" s="87"/>
      <c r="T69" s="3"/>
      <c r="U69" s="3"/>
      <c r="V69" s="3"/>
      <c r="W69" s="3"/>
      <c r="X69" s="3"/>
      <c r="Y69" s="3"/>
      <c r="Z69" s="3"/>
      <c r="AA69" s="3"/>
      <c r="AB69" s="3"/>
      <c r="AC69" s="3"/>
      <c r="AD69" s="3"/>
      <c r="AE69" s="3"/>
      <c r="AF69" s="3"/>
      <c r="AG69" s="3"/>
      <c r="AH69" s="3"/>
      <c r="AI69" s="3"/>
      <c r="AJ69" s="3"/>
      <c r="AK69" s="3"/>
      <c r="AL69" s="3"/>
      <c r="AM69" s="3"/>
      <c r="AN69" s="3"/>
      <c r="AO69" s="3"/>
      <c r="AP69" s="3"/>
      <c r="AQ69" s="3"/>
      <c r="AR69" s="3"/>
      <c r="AS69" s="3"/>
      <c r="AT69" s="3"/>
      <c r="AU69" s="3"/>
      <c r="AV69" s="3"/>
      <c r="AW69" s="3"/>
    </row>
    <row r="70" spans="1:52" ht="13" thickBot="1">
      <c r="A70" s="3"/>
      <c r="B70" s="3"/>
      <c r="C70" s="3"/>
      <c r="D70" s="3"/>
      <c r="E70" s="3"/>
      <c r="F70" s="3"/>
      <c r="G70" s="3"/>
      <c r="H70" s="3"/>
      <c r="I70" s="3"/>
      <c r="J70" s="3"/>
      <c r="K70" s="3"/>
      <c r="L70" s="3"/>
      <c r="M70" s="3"/>
      <c r="N70" s="3"/>
      <c r="O70" s="3"/>
      <c r="P70" s="3"/>
      <c r="Q70" s="3"/>
      <c r="R70" s="88"/>
      <c r="S70" s="90"/>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c r="AT70" s="3"/>
      <c r="AU70" s="3"/>
      <c r="AV70" s="3"/>
      <c r="AW70" s="3"/>
    </row>
    <row r="71" spans="1:52" ht="13.5" thickBot="1">
      <c r="A71" s="3"/>
      <c r="B71" s="187" t="s">
        <v>103</v>
      </c>
      <c r="C71" s="193"/>
      <c r="D71" s="180"/>
      <c r="E71" s="180"/>
      <c r="F71" s="180"/>
      <c r="G71" s="180"/>
      <c r="H71" s="180"/>
      <c r="I71" s="180"/>
      <c r="J71" s="180"/>
      <c r="K71" s="180"/>
      <c r="L71" s="181"/>
      <c r="M71" s="3"/>
      <c r="N71" s="3"/>
      <c r="O71" s="3"/>
      <c r="P71" s="3"/>
      <c r="Q71" s="3"/>
      <c r="R71" s="320"/>
      <c r="S71" s="181"/>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row>
    <row r="72" spans="1:52">
      <c r="A72" s="3"/>
      <c r="B72" s="177"/>
      <c r="C72" s="141"/>
      <c r="D72" s="142" t="s">
        <v>105</v>
      </c>
      <c r="E72" s="141" t="s">
        <v>753</v>
      </c>
      <c r="F72" s="241">
        <f>'Antenna Gain'!F39</f>
        <v>436.5</v>
      </c>
      <c r="G72" s="141" t="s">
        <v>754</v>
      </c>
      <c r="H72" s="141"/>
      <c r="I72" s="141"/>
      <c r="J72" s="141" t="s">
        <v>87</v>
      </c>
      <c r="K72" s="242">
        <f>'Antenna Gain'!K39</f>
        <v>0.6868270332187858</v>
      </c>
      <c r="L72" s="182" t="s">
        <v>755</v>
      </c>
      <c r="M72" s="3"/>
      <c r="N72" s="3"/>
      <c r="O72" s="3"/>
      <c r="P72" s="3"/>
      <c r="Q72" s="3"/>
      <c r="R72" s="388" t="s">
        <v>142</v>
      </c>
      <c r="S72" s="325"/>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3"/>
      <c r="AV72" s="3"/>
      <c r="AW72" s="3"/>
    </row>
    <row r="73" spans="1:52" ht="13" thickBot="1">
      <c r="A73" s="3"/>
      <c r="B73" s="177"/>
      <c r="C73" s="141"/>
      <c r="D73" s="141" t="s">
        <v>715</v>
      </c>
      <c r="E73" s="141" t="s">
        <v>715</v>
      </c>
      <c r="F73" s="199" t="s">
        <v>257</v>
      </c>
      <c r="G73" s="141"/>
      <c r="H73" s="141"/>
      <c r="I73" s="141"/>
      <c r="J73" s="141"/>
      <c r="K73" s="141"/>
      <c r="L73" s="182"/>
      <c r="M73" s="3"/>
      <c r="N73" s="3"/>
      <c r="O73" s="3"/>
      <c r="P73" s="3"/>
      <c r="Q73" s="3"/>
      <c r="R73" s="324"/>
      <c r="S73" s="325"/>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c r="AT73" s="3"/>
      <c r="AU73" s="3"/>
      <c r="AV73" s="3"/>
      <c r="AW73" s="3"/>
    </row>
    <row r="74" spans="1:52" ht="13.5" thickBot="1">
      <c r="A74" s="3"/>
      <c r="B74" s="178" t="s">
        <v>715</v>
      </c>
      <c r="C74" s="141"/>
      <c r="D74" s="141"/>
      <c r="E74" s="317">
        <f>'Antenna Gain'!E41</f>
        <v>7</v>
      </c>
      <c r="F74" s="315" t="str">
        <f>'Antenna Gain'!F41</f>
        <v>Canted Turnstyle (back)</v>
      </c>
      <c r="G74" s="185"/>
      <c r="H74" s="141"/>
      <c r="I74" s="141"/>
      <c r="J74" s="141" t="s">
        <v>60</v>
      </c>
      <c r="K74" s="280" t="str">
        <f>'Antenna Gain'!K41</f>
        <v>RHCP</v>
      </c>
      <c r="L74" s="182"/>
      <c r="M74" s="3"/>
      <c r="N74" s="3"/>
      <c r="O74" s="398" t="s">
        <v>267</v>
      </c>
      <c r="P74" s="3"/>
      <c r="Q74" s="3"/>
      <c r="R74" s="388" t="s">
        <v>141</v>
      </c>
      <c r="S74" s="325"/>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row>
    <row r="75" spans="1:52" ht="13" thickBot="1">
      <c r="A75" s="3"/>
      <c r="B75" s="177"/>
      <c r="C75" s="141"/>
      <c r="D75" s="141"/>
      <c r="E75" s="141"/>
      <c r="F75" s="141" t="s">
        <v>715</v>
      </c>
      <c r="G75" s="141"/>
      <c r="H75" s="141"/>
      <c r="I75" s="141"/>
      <c r="J75" s="141"/>
      <c r="K75" s="141"/>
      <c r="L75" s="182"/>
      <c r="M75" s="3"/>
      <c r="N75" s="3"/>
      <c r="O75" s="399" t="s">
        <v>268</v>
      </c>
      <c r="P75" s="3"/>
      <c r="Q75" s="3"/>
      <c r="R75" s="235" t="s">
        <v>715</v>
      </c>
      <c r="S75" s="237"/>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row>
    <row r="76" spans="1:52" ht="24.75" customHeight="1">
      <c r="A76" s="3"/>
      <c r="B76" s="137">
        <v>1</v>
      </c>
      <c r="C76" s="138" t="s">
        <v>95</v>
      </c>
      <c r="D76" s="138"/>
      <c r="E76" s="138"/>
      <c r="F76" s="138"/>
      <c r="G76" s="138" t="s">
        <v>59</v>
      </c>
      <c r="H76" s="138">
        <f>'Antenna Gain'!H43</f>
        <v>2.15</v>
      </c>
      <c r="I76" s="138" t="s">
        <v>63</v>
      </c>
      <c r="J76" s="138" t="s">
        <v>61</v>
      </c>
      <c r="K76" s="138">
        <f>'Antenna Gain'!L43</f>
        <v>156.19999999999999</v>
      </c>
      <c r="L76" s="139" t="s">
        <v>4</v>
      </c>
      <c r="M76" s="123"/>
      <c r="N76" s="124"/>
      <c r="O76" s="397" t="s">
        <v>274</v>
      </c>
      <c r="P76" s="537" t="s">
        <v>566</v>
      </c>
      <c r="Q76" s="538"/>
      <c r="R76" s="322">
        <f>IF(G85&lt;100,-10*LOG10(COS(RADIANS(90-G85))),"No Signal")</f>
        <v>4.6594831535448265</v>
      </c>
      <c r="S76" s="323" t="s">
        <v>757</v>
      </c>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c r="AU76" s="3"/>
      <c r="AV76" s="3"/>
      <c r="AW76" s="3"/>
    </row>
    <row r="77" spans="1:52" ht="24.75" customHeight="1">
      <c r="A77" s="3"/>
      <c r="B77" s="140">
        <v>2</v>
      </c>
      <c r="C77" s="141" t="s">
        <v>96</v>
      </c>
      <c r="D77" s="141"/>
      <c r="E77" s="141"/>
      <c r="F77" s="141"/>
      <c r="G77" s="141" t="s">
        <v>59</v>
      </c>
      <c r="H77" s="141">
        <f>'Antenna Gain'!H44</f>
        <v>2.15</v>
      </c>
      <c r="I77" s="141" t="s">
        <v>63</v>
      </c>
      <c r="J77" s="141" t="s">
        <v>61</v>
      </c>
      <c r="K77" s="141">
        <f>'Antenna Gain'!L44</f>
        <v>156.19999999999999</v>
      </c>
      <c r="L77" s="143" t="s">
        <v>4</v>
      </c>
      <c r="M77" s="123"/>
      <c r="N77" s="124"/>
      <c r="O77" s="396" t="s">
        <v>273</v>
      </c>
      <c r="P77" s="537" t="s">
        <v>567</v>
      </c>
      <c r="Q77" s="538"/>
      <c r="R77" s="318">
        <f>IF(G85&lt;90.001,-10*LOG10(COS(RADIANS(G85))),-10*LOG(-COS(RADIANS(G85))))</f>
        <v>0.27014183557063515</v>
      </c>
      <c r="S77" s="182" t="s">
        <v>757</v>
      </c>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row>
    <row r="78" spans="1:52" ht="24" customHeight="1">
      <c r="A78" s="3"/>
      <c r="B78" s="144">
        <v>3</v>
      </c>
      <c r="C78" s="98" t="s">
        <v>97</v>
      </c>
      <c r="D78" s="98"/>
      <c r="E78" s="98"/>
      <c r="F78" s="98"/>
      <c r="G78" s="98" t="s">
        <v>59</v>
      </c>
      <c r="H78" s="301">
        <f>'Antenna Gain'!H45</f>
        <v>2</v>
      </c>
      <c r="I78" s="98" t="s">
        <v>784</v>
      </c>
      <c r="J78" s="98" t="s">
        <v>61</v>
      </c>
      <c r="K78" s="98">
        <f>'Antenna Gain'!L45</f>
        <v>180</v>
      </c>
      <c r="L78" s="99" t="s">
        <v>4</v>
      </c>
      <c r="M78" s="123"/>
      <c r="N78" s="124"/>
      <c r="O78" s="395" t="s">
        <v>270</v>
      </c>
      <c r="P78" s="537" t="s">
        <v>568</v>
      </c>
      <c r="Q78" s="538"/>
      <c r="R78" s="401">
        <f>IF(K74=K95, 0.00075*(G85)^2, 0.00075*(180-G85)^2)</f>
        <v>0.3</v>
      </c>
      <c r="S78" s="203" t="s">
        <v>757</v>
      </c>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c r="AU78" s="3"/>
      <c r="AV78" s="3"/>
      <c r="AW78" s="3"/>
    </row>
    <row r="79" spans="1:52" ht="24.75" customHeight="1">
      <c r="A79" s="3"/>
      <c r="B79" s="140">
        <v>4</v>
      </c>
      <c r="C79" s="141" t="s">
        <v>98</v>
      </c>
      <c r="D79" s="141"/>
      <c r="E79" s="192" t="s">
        <v>67</v>
      </c>
      <c r="F79" s="141" t="s">
        <v>68</v>
      </c>
      <c r="G79" s="141" t="s">
        <v>59</v>
      </c>
      <c r="H79" s="302">
        <f>'Antenna Gain'!H46</f>
        <v>4</v>
      </c>
      <c r="I79" s="141" t="s">
        <v>784</v>
      </c>
      <c r="J79" s="141" t="s">
        <v>61</v>
      </c>
      <c r="K79" s="141">
        <f>'Antenna Gain'!L46</f>
        <v>150</v>
      </c>
      <c r="L79" s="143" t="s">
        <v>4</v>
      </c>
      <c r="M79" s="123"/>
      <c r="N79" s="124"/>
      <c r="O79" s="396" t="s">
        <v>272</v>
      </c>
      <c r="P79" s="537" t="s">
        <v>569</v>
      </c>
      <c r="Q79" s="538"/>
      <c r="R79" s="319">
        <f>1.5*((4-10*LOG10(1.256*(1+COS(RADIANS(G85))))))</f>
        <v>0.19916170492455665</v>
      </c>
      <c r="S79" s="237" t="s">
        <v>757</v>
      </c>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row>
    <row r="80" spans="1:52" ht="24.75" customHeight="1">
      <c r="A80" s="3"/>
      <c r="B80" s="144">
        <v>5</v>
      </c>
      <c r="C80" s="98" t="s">
        <v>99</v>
      </c>
      <c r="D80" s="98"/>
      <c r="E80" s="662" t="s">
        <v>136</v>
      </c>
      <c r="F80" s="98"/>
      <c r="G80" s="98" t="s">
        <v>59</v>
      </c>
      <c r="H80" s="663">
        <f>'Antenna Gain'!H47</f>
        <v>6</v>
      </c>
      <c r="I80" s="98" t="s">
        <v>36</v>
      </c>
      <c r="J80" s="98" t="s">
        <v>61</v>
      </c>
      <c r="K80" s="661">
        <f>'Antenna Gain'!L47</f>
        <v>90</v>
      </c>
      <c r="L80" s="99" t="s">
        <v>4</v>
      </c>
      <c r="M80" s="118"/>
      <c r="N80" s="119"/>
      <c r="O80" s="395" t="s">
        <v>271</v>
      </c>
      <c r="P80" s="537" t="str">
        <f>E80</f>
        <v>Patch (Example)</v>
      </c>
      <c r="Q80" s="538"/>
      <c r="R80" s="368">
        <f>-10*LOG10(3282.81*((SIN(RADIANS(G85*1.7724))^2)/((G85*1.7724)^2)))</f>
        <v>0.56135879700097513</v>
      </c>
      <c r="S80" s="287" t="s">
        <v>757</v>
      </c>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c r="AW80" s="3"/>
    </row>
    <row r="81" spans="1:49" ht="24.75" customHeight="1">
      <c r="A81" s="3"/>
      <c r="B81" s="140">
        <v>6</v>
      </c>
      <c r="C81" s="659" t="s">
        <v>92</v>
      </c>
      <c r="D81" s="141"/>
      <c r="E81" s="668" t="s">
        <v>867</v>
      </c>
      <c r="F81" s="141"/>
      <c r="G81" s="141" t="s">
        <v>59</v>
      </c>
      <c r="H81" s="283">
        <f>'Antenna Gain'!H48</f>
        <v>16.62391176905383</v>
      </c>
      <c r="I81" s="141" t="s">
        <v>190</v>
      </c>
      <c r="J81" s="141" t="s">
        <v>61</v>
      </c>
      <c r="K81" s="365">
        <f>'Antenna Gain'!L48</f>
        <v>24.054982817869416</v>
      </c>
      <c r="L81" s="143" t="s">
        <v>4</v>
      </c>
      <c r="M81" s="123"/>
      <c r="N81" s="123"/>
      <c r="O81" s="672" t="s">
        <v>866</v>
      </c>
      <c r="P81" s="673" t="s">
        <v>870</v>
      </c>
      <c r="Q81" s="538"/>
      <c r="R81" s="365">
        <f>-10*LOG10(3282.1*((SIN(RADIANS(U81))^2/(U81^2))))</f>
        <v>9.9566940971909901</v>
      </c>
      <c r="S81" s="667" t="s">
        <v>757</v>
      </c>
      <c r="T81" s="3"/>
      <c r="U81" s="670">
        <f>2*(G85*(79.76/K81))</f>
        <v>132.62948571428572</v>
      </c>
      <c r="V81" s="3"/>
      <c r="W81" s="3"/>
      <c r="X81" s="3"/>
      <c r="Y81" s="3"/>
      <c r="Z81" s="3"/>
      <c r="AA81" s="3"/>
      <c r="AB81" s="3"/>
      <c r="AC81" s="3"/>
      <c r="AD81" s="3"/>
      <c r="AE81" s="3"/>
      <c r="AF81" s="3"/>
      <c r="AG81" s="3"/>
      <c r="AH81" s="3"/>
      <c r="AI81" s="3"/>
      <c r="AJ81" s="3"/>
      <c r="AK81" s="3"/>
      <c r="AL81" s="3"/>
      <c r="AM81" s="3"/>
      <c r="AN81" s="3"/>
      <c r="AO81" s="3"/>
      <c r="AP81" s="3"/>
      <c r="AQ81" s="3"/>
      <c r="AR81" s="3"/>
      <c r="AS81" s="3"/>
      <c r="AT81" s="3"/>
      <c r="AU81" s="3"/>
      <c r="AV81" s="3"/>
      <c r="AW81" s="3"/>
    </row>
    <row r="82" spans="1:49" ht="24.75" customHeight="1" thickBot="1">
      <c r="A82" s="3" t="s">
        <v>715</v>
      </c>
      <c r="B82" s="197">
        <v>7</v>
      </c>
      <c r="C82" s="304" t="s">
        <v>99</v>
      </c>
      <c r="D82" s="195"/>
      <c r="E82" s="669" t="s">
        <v>868</v>
      </c>
      <c r="F82" s="195"/>
      <c r="G82" s="195" t="s">
        <v>59</v>
      </c>
      <c r="H82" s="303">
        <f>'Antenna Gain'!H49</f>
        <v>1.4</v>
      </c>
      <c r="I82" s="195" t="s">
        <v>36</v>
      </c>
      <c r="J82" s="195" t="s">
        <v>61</v>
      </c>
      <c r="K82" s="304">
        <f>'Antenna Gain'!L49</f>
        <v>180</v>
      </c>
      <c r="L82" s="196" t="s">
        <v>4</v>
      </c>
      <c r="M82" s="123"/>
      <c r="N82" s="123"/>
      <c r="O82" s="671" t="s">
        <v>191</v>
      </c>
      <c r="P82" s="673" t="s">
        <v>871</v>
      </c>
      <c r="Q82" s="538"/>
      <c r="R82" s="368">
        <v>0.3</v>
      </c>
      <c r="S82" s="287" t="s">
        <v>757</v>
      </c>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c r="AU82" s="3"/>
      <c r="AV82" s="3"/>
      <c r="AW82" s="3"/>
    </row>
    <row r="83" spans="1:49">
      <c r="A83" s="3"/>
      <c r="B83" s="306"/>
      <c r="C83" s="307"/>
      <c r="D83" s="307"/>
      <c r="E83" s="307"/>
      <c r="F83" s="307"/>
      <c r="G83" s="307"/>
      <c r="H83" s="307"/>
      <c r="I83" s="307"/>
      <c r="J83" s="307"/>
      <c r="K83" s="307"/>
      <c r="L83" s="308"/>
      <c r="M83" s="3"/>
      <c r="N83" s="3"/>
      <c r="O83" s="3"/>
      <c r="P83" s="3"/>
      <c r="Q83" s="3"/>
      <c r="R83" s="82"/>
      <c r="S83" s="84"/>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c r="AT83" s="3"/>
      <c r="AU83" s="3"/>
      <c r="AV83" s="3"/>
      <c r="AW83" s="3"/>
    </row>
    <row r="84" spans="1:49" ht="13">
      <c r="A84" s="3"/>
      <c r="B84" s="309"/>
      <c r="C84" s="296" t="s">
        <v>424</v>
      </c>
      <c r="D84" s="296"/>
      <c r="E84" s="296"/>
      <c r="F84" s="296"/>
      <c r="G84" s="297"/>
      <c r="H84" s="297"/>
      <c r="I84" s="310" t="s">
        <v>138</v>
      </c>
      <c r="J84" s="310"/>
      <c r="K84" s="297"/>
      <c r="L84" s="311"/>
      <c r="M84" s="3"/>
      <c r="N84" s="3"/>
      <c r="O84" s="3"/>
      <c r="P84" s="3"/>
      <c r="Q84" s="3"/>
      <c r="R84" s="85"/>
      <c r="S84" s="87"/>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c r="AV84" s="3"/>
      <c r="AW84" s="3"/>
    </row>
    <row r="85" spans="1:49" ht="13">
      <c r="A85" s="3"/>
      <c r="B85" s="309"/>
      <c r="C85" s="296" t="s">
        <v>255</v>
      </c>
      <c r="D85" s="296"/>
      <c r="E85" s="296"/>
      <c r="F85" s="296"/>
      <c r="G85" s="321">
        <v>20</v>
      </c>
      <c r="H85" s="287" t="s">
        <v>4</v>
      </c>
      <c r="I85" s="310" t="s">
        <v>139</v>
      </c>
      <c r="J85" s="310"/>
      <c r="K85" s="285">
        <f>INDEX(R76:R82,E74, 1)</f>
        <v>0.3</v>
      </c>
      <c r="L85" s="305" t="s">
        <v>757</v>
      </c>
      <c r="M85" s="3"/>
      <c r="N85" s="3"/>
      <c r="O85" s="3"/>
      <c r="P85" s="3" t="s">
        <v>715</v>
      </c>
      <c r="Q85" s="3"/>
      <c r="R85" s="85"/>
      <c r="S85" s="87"/>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c r="AT85" s="3"/>
      <c r="AU85" s="3"/>
      <c r="AV85" s="3"/>
      <c r="AW85" s="3"/>
    </row>
    <row r="86" spans="1:49" ht="13" thickBot="1">
      <c r="A86" s="3"/>
      <c r="B86" s="312"/>
      <c r="C86" s="313"/>
      <c r="D86" s="313"/>
      <c r="E86" s="313"/>
      <c r="F86" s="313"/>
      <c r="G86" s="316"/>
      <c r="H86" s="313"/>
      <c r="I86" s="313"/>
      <c r="J86" s="313"/>
      <c r="K86" s="313"/>
      <c r="L86" s="314"/>
      <c r="M86" s="3"/>
      <c r="N86" s="3" t="s">
        <v>715</v>
      </c>
      <c r="O86" s="3"/>
      <c r="P86" s="3"/>
      <c r="Q86" s="3"/>
      <c r="R86" s="85"/>
      <c r="S86" s="87"/>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row>
    <row r="87" spans="1:49">
      <c r="A87" s="3"/>
      <c r="B87" s="3"/>
      <c r="C87" s="3"/>
      <c r="D87" s="3"/>
      <c r="E87" s="3"/>
      <c r="F87" s="3"/>
      <c r="G87" s="3"/>
      <c r="H87" s="3"/>
      <c r="I87" s="3"/>
      <c r="J87" s="3"/>
      <c r="K87" s="3"/>
      <c r="L87" s="3"/>
      <c r="M87" s="3"/>
      <c r="N87" s="3"/>
      <c r="O87" s="3"/>
      <c r="P87" s="3"/>
      <c r="Q87" s="3"/>
      <c r="R87" s="85"/>
      <c r="S87" s="87"/>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c r="AU87" s="3"/>
      <c r="AV87" s="3"/>
      <c r="AW87" s="3"/>
    </row>
    <row r="88" spans="1:49">
      <c r="A88" s="3"/>
      <c r="B88" s="3"/>
      <c r="C88" s="3"/>
      <c r="D88" s="3"/>
      <c r="E88" s="3"/>
      <c r="F88" s="3"/>
      <c r="G88" s="3"/>
      <c r="H88" s="3"/>
      <c r="I88" s="3"/>
      <c r="J88" s="3"/>
      <c r="K88" s="3"/>
      <c r="L88" s="3"/>
      <c r="M88" s="3"/>
      <c r="N88" s="3"/>
      <c r="O88" s="3"/>
      <c r="P88" s="3"/>
      <c r="Q88" s="3"/>
      <c r="R88" s="85"/>
      <c r="S88" s="87"/>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c r="AV88" s="3"/>
      <c r="AW88" s="3"/>
    </row>
    <row r="89" spans="1:49">
      <c r="A89" s="3"/>
      <c r="B89" s="3" t="s">
        <v>715</v>
      </c>
      <c r="C89" s="3"/>
      <c r="D89" s="3"/>
      <c r="E89" s="3"/>
      <c r="F89" s="3"/>
      <c r="G89" s="3"/>
      <c r="H89" s="3"/>
      <c r="I89" s="3"/>
      <c r="J89" s="3"/>
      <c r="K89" s="3"/>
      <c r="L89" s="3"/>
      <c r="M89" s="3"/>
      <c r="N89" s="3"/>
      <c r="O89" s="3"/>
      <c r="P89" s="3"/>
      <c r="Q89" s="3"/>
      <c r="R89" s="85"/>
      <c r="S89" s="87"/>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c r="AT89" s="3"/>
      <c r="AU89" s="3"/>
      <c r="AV89" s="3"/>
      <c r="AW89" s="3"/>
    </row>
    <row r="90" spans="1:49" ht="13" thickBot="1">
      <c r="A90" s="3"/>
      <c r="B90" s="3"/>
      <c r="C90" s="3"/>
      <c r="D90" s="3"/>
      <c r="E90" s="3"/>
      <c r="F90" s="3"/>
      <c r="G90" s="3"/>
      <c r="H90" s="3"/>
      <c r="I90" s="3"/>
      <c r="J90" s="3"/>
      <c r="K90" s="3"/>
      <c r="L90" s="3"/>
      <c r="M90" s="3"/>
      <c r="N90" s="3"/>
      <c r="O90" s="3"/>
      <c r="P90" s="3"/>
      <c r="Q90" s="3"/>
      <c r="R90" s="85"/>
      <c r="S90" s="87"/>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row>
    <row r="91" spans="1:49" ht="13.5" thickBot="1">
      <c r="A91" s="3"/>
      <c r="B91" s="187" t="s">
        <v>94</v>
      </c>
      <c r="C91" s="193"/>
      <c r="D91" s="180"/>
      <c r="E91" s="180"/>
      <c r="F91" s="180"/>
      <c r="G91" s="180" t="s">
        <v>715</v>
      </c>
      <c r="H91" s="180"/>
      <c r="I91" s="180"/>
      <c r="J91" s="180" t="s">
        <v>715</v>
      </c>
      <c r="K91" s="180"/>
      <c r="L91" s="181"/>
      <c r="M91" s="3"/>
      <c r="N91" s="3"/>
      <c r="O91" s="3"/>
      <c r="P91" s="3"/>
      <c r="Q91" s="3"/>
      <c r="R91" s="390"/>
      <c r="S91" s="87"/>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row>
    <row r="92" spans="1:49" ht="13">
      <c r="A92" s="3"/>
      <c r="B92" s="178" t="s">
        <v>715</v>
      </c>
      <c r="C92" s="211"/>
      <c r="D92" s="213" t="s">
        <v>14</v>
      </c>
      <c r="E92" s="212" t="s">
        <v>753</v>
      </c>
      <c r="F92" s="243">
        <f>'Antenna Gain'!F55</f>
        <v>436.5</v>
      </c>
      <c r="G92" s="141" t="s">
        <v>754</v>
      </c>
      <c r="H92" s="141"/>
      <c r="I92" s="141"/>
      <c r="J92" s="141" t="s">
        <v>87</v>
      </c>
      <c r="K92" s="244">
        <f>'Antenna Gain'!K55</f>
        <v>0.6868270332187858</v>
      </c>
      <c r="L92" s="182" t="s">
        <v>755</v>
      </c>
      <c r="M92" s="3"/>
      <c r="N92" s="3"/>
      <c r="O92" s="3"/>
      <c r="P92" s="3"/>
      <c r="Q92" s="3"/>
      <c r="R92" s="85"/>
      <c r="S92" s="87"/>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c r="AT92" s="3"/>
      <c r="AU92" s="3"/>
      <c r="AV92" s="3"/>
      <c r="AW92" s="3"/>
    </row>
    <row r="93" spans="1:49">
      <c r="A93" s="3"/>
      <c r="B93" s="177"/>
      <c r="C93" s="141"/>
      <c r="D93" s="141"/>
      <c r="E93" s="141"/>
      <c r="F93" s="141"/>
      <c r="G93" s="141"/>
      <c r="H93" s="141"/>
      <c r="I93" s="141"/>
      <c r="J93" s="141"/>
      <c r="K93" s="141"/>
      <c r="L93" s="182"/>
      <c r="M93" s="3"/>
      <c r="N93" s="3"/>
      <c r="O93" s="3"/>
      <c r="P93" s="3"/>
      <c r="Q93" s="3"/>
      <c r="R93" s="85"/>
      <c r="S93" s="87"/>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row>
    <row r="94" spans="1:49" ht="13" thickBot="1">
      <c r="A94" s="3"/>
      <c r="B94" s="177"/>
      <c r="C94" s="141"/>
      <c r="D94" s="141"/>
      <c r="E94" s="141"/>
      <c r="F94" s="199" t="s">
        <v>258</v>
      </c>
      <c r="G94" s="141"/>
      <c r="H94" s="141"/>
      <c r="I94" s="141"/>
      <c r="J94" s="141"/>
      <c r="K94" s="141"/>
      <c r="L94" s="182"/>
      <c r="M94" s="3"/>
      <c r="N94" s="3"/>
      <c r="O94" s="3"/>
      <c r="P94" s="3"/>
      <c r="Q94" s="3"/>
      <c r="R94" s="85"/>
      <c r="S94" s="87"/>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c r="AU94" s="3"/>
      <c r="AV94" s="3"/>
      <c r="AW94" s="3"/>
    </row>
    <row r="95" spans="1:49" ht="13.5" thickBot="1">
      <c r="A95" s="3"/>
      <c r="B95" s="178" t="s">
        <v>715</v>
      </c>
      <c r="C95" s="141"/>
      <c r="D95" s="141"/>
      <c r="E95" s="279">
        <f>'Antenna Gain'!E58</f>
        <v>4</v>
      </c>
      <c r="F95" s="184" t="str">
        <f>'Antenna Gain'!F58</f>
        <v>Crossed Yagi</v>
      </c>
      <c r="G95" s="185"/>
      <c r="H95" s="141"/>
      <c r="I95" s="141"/>
      <c r="J95" s="141" t="s">
        <v>60</v>
      </c>
      <c r="K95" s="280" t="str">
        <f>'Antenna Gain'!K58</f>
        <v>RHCP</v>
      </c>
      <c r="L95" s="182"/>
      <c r="M95" s="3"/>
      <c r="N95" s="3"/>
      <c r="O95" s="3"/>
      <c r="P95" s="3"/>
      <c r="Q95" s="3"/>
      <c r="R95" s="85"/>
      <c r="S95" s="87"/>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c r="AU95" s="3"/>
      <c r="AV95" s="3"/>
      <c r="AW95" s="3"/>
    </row>
    <row r="96" spans="1:49" ht="13" thickBot="1">
      <c r="A96" s="3"/>
      <c r="B96" s="179"/>
      <c r="C96" s="146"/>
      <c r="D96" s="146"/>
      <c r="E96" s="146"/>
      <c r="F96" s="146"/>
      <c r="G96" s="146"/>
      <c r="H96" s="146"/>
      <c r="I96" s="146"/>
      <c r="J96" s="146"/>
      <c r="K96" s="146"/>
      <c r="L96" s="183"/>
      <c r="M96" s="3"/>
      <c r="N96" s="3"/>
      <c r="O96" s="3"/>
      <c r="P96" s="3"/>
      <c r="Q96" s="3"/>
      <c r="R96" s="88"/>
      <c r="S96" s="90"/>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c r="AU96" s="3"/>
      <c r="AV96" s="3"/>
      <c r="AW96" s="3"/>
    </row>
    <row r="97" spans="1:49" ht="36" customHeight="1">
      <c r="A97" s="3"/>
      <c r="B97" s="269">
        <v>1</v>
      </c>
      <c r="C97" s="151" t="s">
        <v>77</v>
      </c>
      <c r="D97" s="265"/>
      <c r="E97" s="151"/>
      <c r="F97" s="268" t="s">
        <v>76</v>
      </c>
      <c r="G97" s="277">
        <f>'Antenna Gain'!N60</f>
        <v>14.05</v>
      </c>
      <c r="H97" s="151" t="s">
        <v>784</v>
      </c>
      <c r="I97" s="265" t="s">
        <v>61</v>
      </c>
      <c r="J97" s="273">
        <f>'Antenna Gain'!Q60</f>
        <v>39.676193136730106</v>
      </c>
      <c r="K97" s="151" t="s">
        <v>4</v>
      </c>
      <c r="L97" s="156"/>
      <c r="M97" s="3"/>
      <c r="N97" s="3"/>
      <c r="O97" s="3"/>
      <c r="P97" s="3"/>
      <c r="Q97" s="3"/>
      <c r="R97" s="392">
        <f>2*(F102*(79.76/INDEX(J97:J100,E95,1)))</f>
        <v>26.58666666666667</v>
      </c>
      <c r="S97" s="266"/>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c r="AU97" s="3"/>
      <c r="AV97" s="3"/>
      <c r="AW97" s="3"/>
    </row>
    <row r="98" spans="1:49" ht="36" customHeight="1">
      <c r="A98" s="3"/>
      <c r="B98" s="270">
        <v>2</v>
      </c>
      <c r="C98" s="158" t="s">
        <v>91</v>
      </c>
      <c r="D98" s="266"/>
      <c r="E98" s="158"/>
      <c r="F98" s="266" t="s">
        <v>59</v>
      </c>
      <c r="G98" s="276">
        <f>'Antenna Gain'!N61</f>
        <v>15.740312677277188</v>
      </c>
      <c r="H98" s="158" t="s">
        <v>784</v>
      </c>
      <c r="I98" s="266" t="s">
        <v>61</v>
      </c>
      <c r="J98" s="275">
        <f>'Antenna Gain'!Q61</f>
        <v>72.73238618387272</v>
      </c>
      <c r="K98" s="158" t="s">
        <v>4</v>
      </c>
      <c r="L98" s="164"/>
      <c r="M98" s="3"/>
      <c r="N98" s="3"/>
      <c r="O98" s="3"/>
      <c r="P98" s="3"/>
      <c r="Q98" s="3"/>
      <c r="R98" s="101"/>
      <c r="S98" s="101"/>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row>
    <row r="99" spans="1:49" ht="36" customHeight="1">
      <c r="A99" s="3"/>
      <c r="B99" s="271">
        <v>3</v>
      </c>
      <c r="C99" s="166" t="s">
        <v>92</v>
      </c>
      <c r="D99" s="267"/>
      <c r="E99" s="166"/>
      <c r="F99" s="267" t="s">
        <v>59</v>
      </c>
      <c r="G99" s="278">
        <f>'Antenna Gain'!N62</f>
        <v>17.001797377947828</v>
      </c>
      <c r="H99" s="166" t="s">
        <v>784</v>
      </c>
      <c r="I99" s="267" t="s">
        <v>61</v>
      </c>
      <c r="J99" s="274">
        <f>'Antenna Gain'!Q62</f>
        <v>24.054982817869416</v>
      </c>
      <c r="K99" s="166" t="s">
        <v>4</v>
      </c>
      <c r="L99" s="170"/>
      <c r="M99" s="3"/>
      <c r="N99" s="3"/>
      <c r="O99" s="3"/>
      <c r="P99" s="3"/>
      <c r="Q99" s="3"/>
      <c r="R99" s="101"/>
      <c r="S99" s="101"/>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c r="AU99" s="3"/>
      <c r="AV99" s="3"/>
      <c r="AW99" s="3"/>
    </row>
    <row r="100" spans="1:49" ht="36" customHeight="1">
      <c r="A100" s="3"/>
      <c r="B100" s="281">
        <v>4</v>
      </c>
      <c r="C100" s="141" t="s">
        <v>93</v>
      </c>
      <c r="D100" s="181"/>
      <c r="E100" s="141"/>
      <c r="F100" s="182" t="s">
        <v>59</v>
      </c>
      <c r="G100" s="282">
        <v>18.5</v>
      </c>
      <c r="H100" s="141" t="s">
        <v>784</v>
      </c>
      <c r="I100" s="182" t="s">
        <v>61</v>
      </c>
      <c r="J100" s="283">
        <f>'Antenna Gain'!Q63</f>
        <v>30</v>
      </c>
      <c r="K100" s="141" t="s">
        <v>4</v>
      </c>
      <c r="L100" s="284"/>
      <c r="M100" s="3"/>
      <c r="N100" s="3"/>
      <c r="O100" s="3"/>
      <c r="P100" s="3"/>
      <c r="Q100" s="3"/>
      <c r="R100" s="101"/>
      <c r="S100" s="101"/>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c r="AU100" s="3"/>
      <c r="AV100" s="3"/>
      <c r="AW100" s="3"/>
    </row>
    <row r="101" spans="1:49">
      <c r="A101" s="3"/>
      <c r="B101" s="292"/>
      <c r="C101" s="293"/>
      <c r="D101" s="293"/>
      <c r="E101" s="293"/>
      <c r="F101" s="293"/>
      <c r="G101" s="293"/>
      <c r="H101" s="293"/>
      <c r="I101" s="293"/>
      <c r="J101" s="293"/>
      <c r="K101" s="293"/>
      <c r="L101" s="294"/>
      <c r="M101" s="3"/>
      <c r="N101" s="3"/>
      <c r="O101" s="3"/>
      <c r="P101" s="3"/>
      <c r="Q101" s="3"/>
      <c r="R101" s="101"/>
      <c r="S101" s="101"/>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c r="AU101" s="3"/>
      <c r="AV101" s="3"/>
      <c r="AW101" s="3"/>
    </row>
    <row r="102" spans="1:49" ht="13">
      <c r="A102" s="3"/>
      <c r="B102" s="295" t="s">
        <v>715</v>
      </c>
      <c r="C102" s="296" t="s">
        <v>256</v>
      </c>
      <c r="D102" s="297"/>
      <c r="E102" s="297"/>
      <c r="F102" s="286">
        <v>5</v>
      </c>
      <c r="G102" s="287" t="s">
        <v>135</v>
      </c>
      <c r="H102" s="296" t="s">
        <v>133</v>
      </c>
      <c r="I102" s="297"/>
      <c r="J102" s="297"/>
      <c r="K102" s="285">
        <f>-10*LOG10(3282.81*((SIN(RADIANS(R97))^2/(R97^2))))</f>
        <v>0.31396976431536944</v>
      </c>
      <c r="L102" s="185" t="s">
        <v>757</v>
      </c>
      <c r="M102" s="3"/>
      <c r="N102" s="3"/>
      <c r="O102" s="3"/>
      <c r="P102" s="3"/>
      <c r="Q102" s="3"/>
      <c r="R102" s="101"/>
      <c r="S102" s="101"/>
      <c r="T102" s="3"/>
      <c r="U102" s="3"/>
      <c r="V102" s="3"/>
      <c r="W102" s="3"/>
      <c r="X102" s="3"/>
      <c r="Y102" s="3"/>
      <c r="Z102" s="3"/>
      <c r="AA102" s="3"/>
      <c r="AB102" s="3"/>
      <c r="AC102" s="3"/>
      <c r="AD102" s="3"/>
      <c r="AE102" s="3"/>
      <c r="AF102" s="3"/>
      <c r="AG102" s="3"/>
      <c r="AH102" s="3"/>
      <c r="AI102" s="3"/>
      <c r="AJ102" s="3"/>
      <c r="AK102" s="3"/>
      <c r="AL102" s="3"/>
      <c r="AM102" s="3"/>
      <c r="AN102" s="3"/>
      <c r="AO102" s="3"/>
      <c r="AP102" s="3"/>
      <c r="AQ102" s="3"/>
      <c r="AR102" s="3"/>
      <c r="AS102" s="3"/>
      <c r="AT102" s="3"/>
      <c r="AU102" s="3"/>
      <c r="AV102" s="3"/>
      <c r="AW102" s="3"/>
    </row>
    <row r="103" spans="1:49">
      <c r="A103" s="3"/>
      <c r="B103" s="298"/>
      <c r="C103" s="299"/>
      <c r="D103" s="299"/>
      <c r="E103" s="299"/>
      <c r="F103" s="299"/>
      <c r="G103" s="299"/>
      <c r="H103" s="299"/>
      <c r="I103" s="299"/>
      <c r="J103" s="299"/>
      <c r="K103" s="299"/>
      <c r="L103" s="300"/>
      <c r="M103" s="3"/>
      <c r="N103" s="3"/>
      <c r="O103" s="3"/>
      <c r="P103" s="3"/>
      <c r="Q103" s="3"/>
      <c r="R103" s="101"/>
      <c r="S103" s="101"/>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c r="AU103" s="3"/>
      <c r="AV103" s="3"/>
      <c r="AW103" s="3"/>
    </row>
    <row r="104" spans="1:49">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c r="AT104" s="3"/>
      <c r="AU104" s="3"/>
      <c r="AV104" s="3"/>
      <c r="AW104" s="3"/>
    </row>
    <row r="105" spans="1:49">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c r="AU105" s="3"/>
      <c r="AV105" s="3"/>
      <c r="AW105" s="3"/>
    </row>
    <row r="106" spans="1:49">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c r="AU106" s="3"/>
      <c r="AV106" s="3"/>
      <c r="AW106" s="3"/>
    </row>
    <row r="107" spans="1:49">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c r="AV107" s="3"/>
      <c r="AW107" s="3"/>
    </row>
    <row r="108" spans="1:49">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row>
    <row r="109" spans="1:49">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c r="AU109" s="3"/>
      <c r="AV109" s="3"/>
      <c r="AW109" s="3"/>
    </row>
    <row r="110" spans="1:49">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c r="AU110" s="3"/>
      <c r="AV110" s="3"/>
      <c r="AW110" s="3"/>
    </row>
    <row r="111" spans="1:49">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c r="AU111" s="3"/>
      <c r="AV111" s="3"/>
      <c r="AW111" s="3"/>
    </row>
    <row r="112" spans="1:49">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c r="AU112" s="3"/>
      <c r="AV112" s="3"/>
      <c r="AW112" s="3"/>
    </row>
    <row r="113" spans="1:49">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row>
    <row r="114" spans="1:49">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c r="AT114" s="3"/>
      <c r="AU114" s="3"/>
      <c r="AV114" s="3"/>
      <c r="AW114" s="3"/>
    </row>
    <row r="115" spans="1:49">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c r="AT115" s="3"/>
      <c r="AU115" s="3"/>
      <c r="AV115" s="3"/>
      <c r="AW115" s="3"/>
    </row>
    <row r="116" spans="1:49">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c r="AU116" s="3"/>
      <c r="AV116" s="3"/>
      <c r="AW116" s="3"/>
    </row>
    <row r="117" spans="1:49">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3"/>
      <c r="AU117" s="3"/>
      <c r="AV117" s="3"/>
      <c r="AW117" s="3"/>
    </row>
    <row r="118" spans="1:49">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c r="AU118" s="3"/>
      <c r="AV118" s="3"/>
      <c r="AW118" s="3"/>
    </row>
    <row r="119" spans="1:49">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c r="AT119" s="3"/>
      <c r="AU119" s="3"/>
      <c r="AV119" s="3"/>
      <c r="AW119" s="3"/>
    </row>
    <row r="120" spans="1:49">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3"/>
      <c r="AT120" s="3"/>
      <c r="AU120" s="3"/>
      <c r="AV120" s="3"/>
      <c r="AW120" s="3"/>
    </row>
    <row r="121" spans="1:49">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c r="AQ121" s="3"/>
      <c r="AR121" s="3"/>
      <c r="AS121" s="3"/>
      <c r="AT121" s="3"/>
      <c r="AU121" s="3"/>
      <c r="AV121" s="3"/>
      <c r="AW121" s="3"/>
    </row>
    <row r="122" spans="1:49">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c r="AH122" s="3"/>
      <c r="AI122" s="3"/>
      <c r="AJ122" s="3"/>
      <c r="AK122" s="3"/>
      <c r="AL122" s="3"/>
      <c r="AM122" s="3"/>
      <c r="AN122" s="3"/>
      <c r="AO122" s="3"/>
      <c r="AP122" s="3"/>
      <c r="AQ122" s="3"/>
      <c r="AR122" s="3"/>
      <c r="AS122" s="3"/>
      <c r="AT122" s="3"/>
      <c r="AU122" s="3"/>
      <c r="AV122" s="3"/>
      <c r="AW122" s="3"/>
    </row>
    <row r="123" spans="1:49">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c r="AH123" s="3"/>
      <c r="AI123" s="3"/>
      <c r="AJ123" s="3"/>
      <c r="AK123" s="3"/>
      <c r="AL123" s="3"/>
      <c r="AM123" s="3"/>
      <c r="AN123" s="3"/>
      <c r="AO123" s="3"/>
      <c r="AP123" s="3"/>
      <c r="AQ123" s="3"/>
      <c r="AR123" s="3"/>
      <c r="AS123" s="3"/>
      <c r="AT123" s="3"/>
      <c r="AU123" s="3"/>
      <c r="AV123" s="3"/>
      <c r="AW123" s="3"/>
    </row>
    <row r="124" spans="1:49">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c r="AH124" s="3"/>
      <c r="AI124" s="3"/>
      <c r="AJ124" s="3"/>
      <c r="AK124" s="3"/>
      <c r="AL124" s="3"/>
      <c r="AM124" s="3"/>
      <c r="AN124" s="3"/>
      <c r="AO124" s="3"/>
      <c r="AP124" s="3"/>
      <c r="AQ124" s="3"/>
      <c r="AR124" s="3"/>
      <c r="AS124" s="3"/>
      <c r="AT124" s="3"/>
      <c r="AU124" s="3"/>
      <c r="AV124" s="3"/>
      <c r="AW124" s="3"/>
    </row>
    <row r="125" spans="1:49">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c r="AH125" s="3"/>
      <c r="AI125" s="3"/>
      <c r="AJ125" s="3"/>
      <c r="AK125" s="3"/>
      <c r="AL125" s="3"/>
      <c r="AM125" s="3"/>
      <c r="AN125" s="3"/>
      <c r="AO125" s="3"/>
      <c r="AP125" s="3"/>
      <c r="AQ125" s="3"/>
      <c r="AR125" s="3"/>
      <c r="AS125" s="3"/>
      <c r="AT125" s="3"/>
      <c r="AU125" s="3"/>
      <c r="AV125" s="3"/>
      <c r="AW125" s="3"/>
    </row>
    <row r="126" spans="1:49">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c r="AH126" s="3"/>
      <c r="AI126" s="3"/>
      <c r="AJ126" s="3"/>
      <c r="AK126" s="3"/>
      <c r="AL126" s="3"/>
      <c r="AM126" s="3"/>
      <c r="AN126" s="3"/>
      <c r="AO126" s="3"/>
      <c r="AP126" s="3"/>
      <c r="AQ126" s="3"/>
      <c r="AR126" s="3"/>
      <c r="AS126" s="3"/>
      <c r="AT126" s="3"/>
      <c r="AU126" s="3"/>
      <c r="AV126" s="3"/>
      <c r="AW126" s="3"/>
    </row>
  </sheetData>
  <phoneticPr fontId="26" type="noConversion"/>
  <pageMargins left="0.75" right="0.75" top="1" bottom="1" header="0.5" footer="0.5"/>
  <pageSetup paperSize="9" orientation="portrait" horizontalDpi="4294967293" verticalDpi="0"/>
  <headerFooter alignWithMargins="0"/>
  <drawing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tabColor indexed="13"/>
  </sheetPr>
  <dimension ref="A1:V115"/>
  <sheetViews>
    <sheetView zoomScale="120" zoomScaleNormal="120" workbookViewId="0">
      <selection activeCell="I16" sqref="I16"/>
    </sheetView>
  </sheetViews>
  <sheetFormatPr defaultColWidth="8.81640625" defaultRowHeight="12.5"/>
  <cols>
    <col min="7" max="7" width="9.453125" customWidth="1"/>
    <col min="10" max="10" width="9.81640625" customWidth="1"/>
    <col min="15" max="15" width="11.453125" customWidth="1"/>
  </cols>
  <sheetData>
    <row r="1" spans="1:22" ht="18.5" thickBot="1">
      <c r="A1" s="125" t="s">
        <v>248</v>
      </c>
      <c r="B1" s="125"/>
      <c r="C1" s="126"/>
      <c r="D1" s="126"/>
      <c r="E1" s="126"/>
      <c r="F1" s="126"/>
      <c r="G1" s="126"/>
      <c r="H1" s="127"/>
      <c r="I1" s="127"/>
      <c r="J1" s="611" t="str">
        <f>'Title Page'!F3</f>
        <v>OreSat - CS0</v>
      </c>
      <c r="K1" s="127"/>
      <c r="L1" s="127"/>
      <c r="M1" s="127"/>
      <c r="N1" s="610" t="str">
        <f>'Title Page'!F23</f>
        <v>2019 June 21</v>
      </c>
      <c r="O1" s="127"/>
      <c r="P1" s="127"/>
      <c r="Q1" s="127"/>
      <c r="R1" s="127"/>
      <c r="S1" s="127"/>
      <c r="T1" s="127"/>
      <c r="U1" s="127"/>
      <c r="V1" s="127"/>
    </row>
    <row r="2" spans="1:22">
      <c r="A2" s="3"/>
      <c r="B2" s="3"/>
      <c r="C2" s="3"/>
      <c r="D2" s="3"/>
      <c r="E2" s="3"/>
      <c r="F2" s="3"/>
      <c r="G2" s="3"/>
      <c r="H2" s="3"/>
      <c r="I2" s="3"/>
      <c r="J2" s="3"/>
      <c r="K2" s="3"/>
      <c r="L2" s="3"/>
      <c r="M2" s="3"/>
      <c r="N2" s="3"/>
      <c r="O2" s="3"/>
      <c r="P2" s="3"/>
      <c r="Q2" s="3"/>
      <c r="R2" s="3"/>
      <c r="S2" s="3"/>
      <c r="T2" s="3"/>
      <c r="U2" s="3"/>
      <c r="V2" s="3"/>
    </row>
    <row r="3" spans="1:22">
      <c r="A3" s="3"/>
      <c r="B3" s="3"/>
      <c r="C3" s="3"/>
      <c r="D3" s="3"/>
      <c r="E3" s="121" t="s">
        <v>885</v>
      </c>
      <c r="F3" s="3"/>
      <c r="G3" s="3"/>
      <c r="H3" s="3"/>
      <c r="I3" s="3"/>
      <c r="J3" s="3"/>
      <c r="K3" s="3"/>
      <c r="L3" s="466" t="s">
        <v>715</v>
      </c>
      <c r="M3" s="3"/>
      <c r="N3" s="3"/>
      <c r="O3" s="3"/>
      <c r="P3" s="3"/>
      <c r="Q3" s="3"/>
      <c r="R3" s="3"/>
      <c r="S3" s="3"/>
      <c r="T3" s="3"/>
      <c r="U3" s="3"/>
      <c r="V3" s="3"/>
    </row>
    <row r="4" spans="1:22">
      <c r="A4" s="3"/>
      <c r="B4" s="94" t="s">
        <v>887</v>
      </c>
      <c r="C4" s="3"/>
      <c r="D4" s="3"/>
      <c r="E4" s="3"/>
      <c r="F4" s="3"/>
      <c r="G4" s="3"/>
      <c r="H4" s="3"/>
      <c r="I4" s="3"/>
      <c r="J4" s="3"/>
      <c r="K4" s="3"/>
      <c r="L4" s="3"/>
      <c r="M4" s="3"/>
      <c r="N4" s="3"/>
      <c r="O4" s="3"/>
      <c r="P4" s="3"/>
      <c r="Q4" s="3"/>
      <c r="R4" s="3"/>
      <c r="S4" s="3"/>
      <c r="T4" s="3"/>
      <c r="U4" s="3"/>
      <c r="V4" s="3"/>
    </row>
    <row r="5" spans="1:22" ht="13">
      <c r="A5" s="3"/>
      <c r="B5" s="3"/>
      <c r="C5" s="3"/>
      <c r="D5" s="3"/>
      <c r="E5" s="121" t="s">
        <v>886</v>
      </c>
      <c r="F5" s="3"/>
      <c r="G5" s="3"/>
      <c r="H5" s="3"/>
      <c r="I5" s="3"/>
      <c r="J5" s="3"/>
      <c r="K5" s="4" t="s">
        <v>884</v>
      </c>
      <c r="L5" s="3"/>
      <c r="M5" s="3"/>
      <c r="N5" s="4" t="s">
        <v>874</v>
      </c>
      <c r="O5" s="3"/>
      <c r="P5" s="3"/>
      <c r="Q5" s="4" t="s">
        <v>875</v>
      </c>
      <c r="R5" s="3"/>
      <c r="S5" s="3"/>
      <c r="T5" s="3"/>
      <c r="U5" s="3"/>
      <c r="V5" s="3"/>
    </row>
    <row r="6" spans="1:22">
      <c r="A6" s="3"/>
      <c r="B6" s="345" t="s">
        <v>140</v>
      </c>
      <c r="C6" s="3"/>
      <c r="D6" s="3"/>
      <c r="E6" s="3"/>
      <c r="F6" s="3"/>
      <c r="G6" s="3"/>
      <c r="H6" s="3"/>
      <c r="I6" s="3"/>
      <c r="J6" s="3"/>
      <c r="K6" s="3" t="s">
        <v>902</v>
      </c>
      <c r="L6" s="3"/>
      <c r="M6" s="3"/>
      <c r="N6" s="3" t="s">
        <v>902</v>
      </c>
      <c r="O6" s="3"/>
      <c r="P6" s="3"/>
      <c r="Q6" s="3" t="s">
        <v>903</v>
      </c>
      <c r="R6" s="3"/>
      <c r="S6" s="3"/>
      <c r="T6" s="3"/>
      <c r="U6" s="3"/>
      <c r="V6" s="3"/>
    </row>
    <row r="7" spans="1:22">
      <c r="A7" s="3"/>
      <c r="B7" s="3"/>
      <c r="C7" s="3"/>
      <c r="D7" s="3"/>
      <c r="E7" s="3"/>
      <c r="F7" s="3"/>
      <c r="G7" s="3"/>
      <c r="H7" s="3"/>
      <c r="I7" s="3"/>
      <c r="J7" s="3"/>
      <c r="K7" s="3"/>
      <c r="L7" s="3"/>
      <c r="M7" s="3"/>
      <c r="N7" s="3" t="s">
        <v>715</v>
      </c>
      <c r="O7" s="3"/>
      <c r="P7" s="3"/>
      <c r="Q7" s="3"/>
      <c r="R7" s="3"/>
      <c r="S7" s="3"/>
      <c r="T7" s="3"/>
      <c r="U7" s="3"/>
      <c r="V7" s="3"/>
    </row>
    <row r="8" spans="1:22">
      <c r="A8" s="3"/>
      <c r="B8" s="3"/>
      <c r="C8" s="3"/>
      <c r="D8" s="3"/>
      <c r="E8" s="3"/>
      <c r="F8" s="3"/>
      <c r="G8" s="3"/>
      <c r="H8" s="3"/>
      <c r="I8" s="3"/>
      <c r="J8" s="3"/>
      <c r="K8" s="3"/>
      <c r="L8" s="3"/>
      <c r="M8" s="3"/>
      <c r="N8" s="3"/>
      <c r="O8" s="3"/>
      <c r="P8" s="3"/>
      <c r="Q8" s="3"/>
      <c r="R8" s="3"/>
      <c r="S8" s="3"/>
      <c r="T8" s="3"/>
      <c r="U8" s="3"/>
      <c r="V8" s="3"/>
    </row>
    <row r="9" spans="1:22" ht="12.75" customHeight="1">
      <c r="A9" s="3"/>
      <c r="B9" s="3"/>
      <c r="C9" s="3"/>
      <c r="D9" s="3"/>
      <c r="E9" s="3"/>
      <c r="F9" s="3"/>
      <c r="G9" s="3"/>
      <c r="H9" s="3"/>
      <c r="I9" s="3"/>
      <c r="J9" s="3"/>
      <c r="K9" s="3"/>
      <c r="L9" s="3"/>
      <c r="M9" s="3"/>
      <c r="N9" s="3"/>
      <c r="O9" s="3"/>
      <c r="P9" s="3"/>
      <c r="Q9" s="3"/>
      <c r="R9" s="3"/>
      <c r="S9" s="3"/>
      <c r="T9" s="3"/>
      <c r="U9" s="3"/>
      <c r="V9" s="3"/>
    </row>
    <row r="10" spans="1:22" ht="12.75" customHeight="1">
      <c r="A10" s="3"/>
      <c r="B10" s="3"/>
      <c r="C10" s="3"/>
      <c r="D10" s="3"/>
      <c r="E10" s="3"/>
      <c r="F10" s="3"/>
      <c r="G10" s="3"/>
      <c r="H10" s="3"/>
      <c r="I10" s="3"/>
      <c r="J10" s="3"/>
      <c r="K10" s="3"/>
      <c r="L10" s="3"/>
      <c r="M10" s="3"/>
      <c r="N10" s="3"/>
      <c r="O10" s="3"/>
      <c r="P10" s="3"/>
      <c r="Q10" s="3" t="s">
        <v>882</v>
      </c>
      <c r="R10" s="3"/>
      <c r="S10" s="3"/>
      <c r="T10" s="3"/>
      <c r="U10" s="3"/>
      <c r="V10" s="3"/>
    </row>
    <row r="11" spans="1:22" ht="13">
      <c r="A11" s="3"/>
      <c r="B11" s="3"/>
      <c r="C11" s="3"/>
      <c r="D11" s="3"/>
      <c r="E11" s="3"/>
      <c r="F11" s="3"/>
      <c r="G11" s="3"/>
      <c r="H11" s="4" t="s">
        <v>876</v>
      </c>
      <c r="I11" s="3"/>
      <c r="J11" s="3"/>
      <c r="K11" s="3"/>
      <c r="L11" s="3"/>
      <c r="M11" s="3"/>
      <c r="N11" s="3"/>
      <c r="O11" s="3"/>
      <c r="P11" s="3"/>
      <c r="Q11" s="3"/>
      <c r="R11" s="3"/>
      <c r="S11" s="3"/>
      <c r="T11" s="3"/>
      <c r="U11" s="3"/>
      <c r="V11" s="3"/>
    </row>
    <row r="12" spans="1:22">
      <c r="A12" s="3"/>
      <c r="B12" s="3"/>
      <c r="C12" s="3"/>
      <c r="D12" s="3"/>
      <c r="E12" s="3"/>
      <c r="F12" s="3"/>
      <c r="G12" s="3"/>
      <c r="H12" s="3"/>
      <c r="I12" s="3"/>
      <c r="J12" s="3"/>
      <c r="K12" s="3"/>
      <c r="L12" s="3"/>
      <c r="M12" s="3"/>
      <c r="N12" s="3"/>
      <c r="O12" s="3"/>
      <c r="P12" s="3"/>
      <c r="Q12" s="3"/>
      <c r="R12" s="3"/>
      <c r="S12" s="3"/>
      <c r="T12" s="3"/>
      <c r="U12" s="3"/>
      <c r="V12" s="3"/>
    </row>
    <row r="13" spans="1:22">
      <c r="A13" s="3"/>
      <c r="B13" s="3"/>
      <c r="C13" s="3"/>
      <c r="D13" s="3"/>
      <c r="E13" s="3"/>
      <c r="F13" s="3"/>
      <c r="G13" s="3"/>
      <c r="H13" s="3"/>
      <c r="I13" s="3"/>
      <c r="J13" s="3"/>
      <c r="K13" s="3"/>
      <c r="L13" s="3"/>
      <c r="M13" s="3"/>
      <c r="N13" s="3"/>
      <c r="O13" s="3"/>
      <c r="P13" s="3"/>
      <c r="Q13" s="3"/>
      <c r="R13" s="3"/>
      <c r="S13" s="3"/>
      <c r="T13" s="3"/>
      <c r="U13" s="3"/>
      <c r="V13" s="3"/>
    </row>
    <row r="14" spans="1:22">
      <c r="A14" s="3"/>
      <c r="B14" s="3"/>
      <c r="C14" s="3"/>
      <c r="D14" s="3"/>
      <c r="E14" s="3"/>
      <c r="F14" s="3"/>
      <c r="G14" s="3"/>
      <c r="H14" s="3"/>
      <c r="I14" s="3"/>
      <c r="J14" s="3"/>
      <c r="K14" s="3"/>
      <c r="L14" s="3"/>
      <c r="M14" s="3"/>
      <c r="N14" s="3"/>
      <c r="O14" s="3"/>
      <c r="P14" s="3"/>
      <c r="Q14" s="3"/>
      <c r="R14" s="3"/>
      <c r="S14" s="3"/>
      <c r="T14" s="3"/>
      <c r="U14" s="3"/>
      <c r="V14" s="3"/>
    </row>
    <row r="15" spans="1:22">
      <c r="A15" s="3"/>
      <c r="B15" s="3"/>
      <c r="C15" s="3"/>
      <c r="D15" s="3"/>
      <c r="E15" s="3"/>
      <c r="F15" s="3"/>
      <c r="G15" s="3"/>
      <c r="H15" s="3"/>
      <c r="I15" s="3"/>
      <c r="J15" s="3"/>
      <c r="K15" s="3"/>
      <c r="L15" s="3"/>
      <c r="M15" s="3"/>
      <c r="N15" s="3"/>
      <c r="O15" s="3"/>
      <c r="P15" s="3"/>
      <c r="Q15" s="3"/>
      <c r="R15" s="3"/>
      <c r="S15" s="3"/>
      <c r="T15" s="3"/>
      <c r="U15" s="3"/>
      <c r="V15" s="3"/>
    </row>
    <row r="16" spans="1:22">
      <c r="A16" s="3"/>
      <c r="B16" s="3"/>
      <c r="C16" s="3"/>
      <c r="D16" s="3"/>
      <c r="E16" s="3"/>
      <c r="F16" s="3"/>
      <c r="G16" s="3"/>
      <c r="H16" s="3"/>
      <c r="I16" s="3"/>
      <c r="J16" s="3"/>
      <c r="K16" s="3"/>
      <c r="L16" s="3"/>
      <c r="M16" s="3"/>
      <c r="N16" s="3"/>
      <c r="O16" s="3"/>
      <c r="P16" s="3"/>
      <c r="Q16" s="3"/>
      <c r="R16" s="3"/>
      <c r="S16" s="3"/>
      <c r="T16" s="3"/>
      <c r="U16" s="3"/>
      <c r="V16" s="3"/>
    </row>
    <row r="17" spans="1:22">
      <c r="A17" s="3"/>
      <c r="B17" s="3"/>
      <c r="C17" s="3"/>
      <c r="D17" s="3"/>
      <c r="E17" s="3"/>
      <c r="F17" s="3"/>
      <c r="G17" s="3"/>
      <c r="H17" s="3"/>
      <c r="I17" s="3"/>
      <c r="J17" s="3"/>
      <c r="K17" s="3"/>
      <c r="L17" s="3"/>
      <c r="M17" s="3"/>
      <c r="N17" s="3"/>
      <c r="O17" s="3"/>
      <c r="P17" s="3"/>
      <c r="Q17" s="3"/>
      <c r="R17" s="3"/>
      <c r="S17" s="3"/>
      <c r="T17" s="3"/>
      <c r="U17" s="3"/>
      <c r="V17" s="3"/>
    </row>
    <row r="18" spans="1:22">
      <c r="A18" s="3"/>
      <c r="B18" s="3"/>
      <c r="C18" s="3"/>
      <c r="D18" s="3"/>
      <c r="E18" s="3"/>
      <c r="F18" s="3"/>
      <c r="G18" s="3"/>
      <c r="H18" s="3"/>
      <c r="I18" s="3"/>
      <c r="J18" s="3"/>
      <c r="K18" s="3"/>
      <c r="L18" s="3"/>
      <c r="M18" s="3"/>
      <c r="N18" s="3"/>
      <c r="O18" s="3"/>
      <c r="P18" s="3"/>
      <c r="Q18" s="3"/>
      <c r="R18" s="3"/>
      <c r="S18" s="3"/>
      <c r="T18" s="3"/>
      <c r="U18" s="3"/>
      <c r="V18" s="3"/>
    </row>
    <row r="19" spans="1:22">
      <c r="A19" s="3"/>
      <c r="B19" s="3"/>
      <c r="C19" s="3"/>
      <c r="D19" s="3"/>
      <c r="E19" s="3"/>
      <c r="F19" s="3"/>
      <c r="G19" s="3"/>
      <c r="H19" s="3"/>
      <c r="I19" s="3"/>
      <c r="J19" s="3"/>
      <c r="K19" s="3"/>
      <c r="L19" s="3"/>
      <c r="M19" s="3"/>
      <c r="N19" s="3"/>
      <c r="O19" s="3"/>
      <c r="P19" s="3"/>
      <c r="Q19" s="3"/>
      <c r="R19" s="3"/>
      <c r="S19" s="3"/>
      <c r="T19" s="3"/>
      <c r="U19" s="3"/>
      <c r="V19" s="3"/>
    </row>
    <row r="20" spans="1:22" ht="12.75" customHeight="1">
      <c r="A20" s="3"/>
      <c r="B20" s="3"/>
      <c r="C20" s="3"/>
      <c r="D20" s="3"/>
      <c r="E20" s="3"/>
      <c r="F20" s="3"/>
      <c r="G20" s="3"/>
      <c r="H20" s="3"/>
      <c r="I20" s="3"/>
      <c r="J20" s="3"/>
      <c r="K20" s="3"/>
      <c r="L20" s="3"/>
      <c r="M20" s="3"/>
      <c r="N20" s="3"/>
      <c r="O20" s="3"/>
      <c r="P20" s="3"/>
      <c r="Q20" s="3" t="s">
        <v>883</v>
      </c>
      <c r="R20" s="3"/>
      <c r="S20" s="3"/>
      <c r="T20" s="3"/>
      <c r="U20" s="3"/>
      <c r="V20" s="3"/>
    </row>
    <row r="21" spans="1:22" ht="13">
      <c r="A21" s="3"/>
      <c r="B21" s="3"/>
      <c r="C21" s="3"/>
      <c r="D21" s="3"/>
      <c r="E21" s="3"/>
      <c r="F21" s="3"/>
      <c r="G21" s="3"/>
      <c r="H21" s="4" t="s">
        <v>881</v>
      </c>
      <c r="I21" s="3"/>
      <c r="J21" s="3"/>
      <c r="K21" s="3"/>
      <c r="L21" s="3"/>
      <c r="M21" s="3"/>
      <c r="N21" s="3"/>
      <c r="O21" s="3"/>
      <c r="P21" s="3"/>
      <c r="Q21" s="3"/>
      <c r="R21" s="3"/>
      <c r="S21" s="3"/>
      <c r="T21" s="3"/>
      <c r="U21" s="3"/>
      <c r="V21" s="3"/>
    </row>
    <row r="22" spans="1:22">
      <c r="A22" s="3"/>
      <c r="B22" s="3"/>
      <c r="C22" s="3"/>
      <c r="D22" s="3"/>
      <c r="E22" s="3"/>
      <c r="F22" s="3"/>
      <c r="G22" s="3"/>
      <c r="H22" s="3"/>
      <c r="I22" s="3"/>
      <c r="J22" s="3"/>
      <c r="K22" s="3"/>
      <c r="L22" s="3"/>
      <c r="M22" s="3"/>
      <c r="N22" s="3"/>
      <c r="O22" s="3"/>
      <c r="P22" s="3"/>
      <c r="Q22" s="3"/>
      <c r="R22" s="3"/>
      <c r="S22" s="3"/>
      <c r="T22" s="3"/>
      <c r="U22" s="3"/>
      <c r="V22" s="3"/>
    </row>
    <row r="23" spans="1:22">
      <c r="A23" s="3"/>
      <c r="B23" s="3"/>
      <c r="C23" s="3"/>
      <c r="D23" s="3"/>
      <c r="E23" s="3"/>
      <c r="F23" s="3"/>
      <c r="G23" s="3"/>
      <c r="H23" s="3"/>
      <c r="I23" s="3"/>
      <c r="J23" s="3"/>
      <c r="K23" s="3"/>
      <c r="L23" s="3"/>
      <c r="M23" s="3"/>
      <c r="N23" s="3"/>
      <c r="O23" s="3"/>
      <c r="P23" s="3"/>
      <c r="Q23" s="3"/>
      <c r="R23" s="3"/>
      <c r="S23" s="3"/>
      <c r="T23" s="3"/>
      <c r="U23" s="3"/>
      <c r="V23" s="3"/>
    </row>
    <row r="24" spans="1:22">
      <c r="A24" s="3"/>
      <c r="B24" s="3"/>
      <c r="C24" s="3"/>
      <c r="D24" s="3"/>
      <c r="E24" s="3"/>
      <c r="F24" s="3"/>
      <c r="G24" s="3"/>
      <c r="H24" s="3"/>
      <c r="I24" s="3"/>
      <c r="J24" s="3"/>
      <c r="K24" s="3"/>
      <c r="L24" s="3"/>
      <c r="M24" s="3"/>
      <c r="N24" s="3"/>
      <c r="O24" s="3"/>
      <c r="P24" s="3"/>
      <c r="Q24" s="3"/>
      <c r="R24" s="3"/>
      <c r="S24" s="3"/>
      <c r="T24" s="3"/>
      <c r="U24" s="3"/>
      <c r="V24" s="3"/>
    </row>
    <row r="25" spans="1:22">
      <c r="A25" s="3"/>
      <c r="B25" s="3"/>
      <c r="C25" s="3"/>
      <c r="D25" s="3"/>
      <c r="E25" s="3"/>
      <c r="F25" s="3"/>
      <c r="G25" s="3"/>
      <c r="H25" s="3"/>
      <c r="I25" s="3"/>
      <c r="J25" s="3"/>
      <c r="K25" s="3"/>
      <c r="L25" s="3"/>
      <c r="M25" s="3"/>
      <c r="N25" s="3"/>
      <c r="O25" s="3"/>
      <c r="P25" s="3"/>
      <c r="Q25" s="3"/>
      <c r="R25" s="3"/>
      <c r="S25" s="3"/>
      <c r="T25" s="3"/>
      <c r="U25" s="3"/>
      <c r="V25" s="3"/>
    </row>
    <row r="26" spans="1:22">
      <c r="A26" s="3"/>
      <c r="B26" s="3"/>
      <c r="C26" s="3"/>
      <c r="D26" s="3"/>
      <c r="E26" s="3"/>
      <c r="F26" s="3"/>
      <c r="G26" s="3"/>
      <c r="H26" s="3"/>
      <c r="I26" s="3"/>
      <c r="J26" s="3"/>
      <c r="K26" s="3"/>
      <c r="L26" s="3"/>
      <c r="M26" s="3"/>
      <c r="N26" s="3"/>
      <c r="O26" s="3"/>
      <c r="P26" s="3"/>
      <c r="Q26" s="3"/>
      <c r="R26" s="3"/>
      <c r="S26" s="3"/>
      <c r="T26" s="3"/>
      <c r="U26" s="3"/>
      <c r="V26" s="3"/>
    </row>
    <row r="27" spans="1:22">
      <c r="A27" s="3"/>
      <c r="B27" s="345" t="s">
        <v>140</v>
      </c>
      <c r="C27" s="3"/>
      <c r="D27" s="3"/>
      <c r="E27" s="3"/>
      <c r="F27" s="3"/>
      <c r="G27" s="3"/>
      <c r="H27" s="3"/>
      <c r="I27" s="3"/>
      <c r="J27" s="3"/>
      <c r="K27" s="3"/>
      <c r="L27" s="3"/>
      <c r="M27" s="3"/>
      <c r="N27" s="3"/>
      <c r="O27" s="3"/>
      <c r="P27" s="3"/>
      <c r="Q27" s="3"/>
      <c r="R27" s="3"/>
      <c r="S27" s="3"/>
      <c r="T27" s="3"/>
      <c r="U27" s="3"/>
      <c r="V27" s="3"/>
    </row>
    <row r="28" spans="1:22" ht="13" thickBot="1">
      <c r="A28" s="3"/>
      <c r="B28" s="3"/>
      <c r="C28" s="3"/>
      <c r="D28" s="3"/>
      <c r="E28" s="3"/>
      <c r="F28" s="3"/>
      <c r="G28" s="3"/>
      <c r="H28" s="3"/>
      <c r="I28" s="3"/>
      <c r="J28" s="3"/>
      <c r="K28" s="82"/>
      <c r="L28" s="83"/>
      <c r="M28" s="83"/>
      <c r="N28" s="84"/>
      <c r="O28" s="3"/>
      <c r="P28" s="3"/>
      <c r="Q28" s="3"/>
      <c r="R28" s="3"/>
      <c r="S28" s="3"/>
      <c r="T28" s="3"/>
      <c r="U28" s="3"/>
      <c r="V28" s="3"/>
    </row>
    <row r="29" spans="1:22" ht="13.5" thickBot="1">
      <c r="A29" s="3"/>
      <c r="B29" s="229" t="s">
        <v>119</v>
      </c>
      <c r="C29" s="232" t="s">
        <v>125</v>
      </c>
      <c r="D29" s="3"/>
      <c r="E29" s="3"/>
      <c r="F29" s="3"/>
      <c r="G29" s="3"/>
      <c r="H29" s="3"/>
      <c r="I29" s="3"/>
      <c r="J29" s="3"/>
      <c r="K29" s="85"/>
      <c r="L29" s="86"/>
      <c r="M29" s="86"/>
      <c r="N29" s="87"/>
      <c r="O29" s="3"/>
      <c r="P29" s="3"/>
      <c r="Q29" s="3"/>
      <c r="R29" s="3"/>
      <c r="S29" s="3"/>
      <c r="T29" s="3"/>
      <c r="U29" s="3"/>
      <c r="V29" s="3"/>
    </row>
    <row r="30" spans="1:22" ht="13">
      <c r="A30" s="3"/>
      <c r="B30" s="377" t="s">
        <v>715</v>
      </c>
      <c r="C30" s="95" t="s">
        <v>901</v>
      </c>
      <c r="D30" s="95"/>
      <c r="E30" s="80"/>
      <c r="F30" s="80"/>
      <c r="G30" s="96"/>
      <c r="H30" s="3"/>
      <c r="I30" s="3"/>
      <c r="J30" s="3"/>
      <c r="K30" s="85"/>
      <c r="L30" s="86"/>
      <c r="M30" s="86"/>
      <c r="N30" s="87"/>
      <c r="O30" s="3"/>
      <c r="P30" s="3"/>
      <c r="Q30" s="3"/>
      <c r="R30" s="3"/>
      <c r="S30" s="3"/>
      <c r="T30" s="3"/>
      <c r="U30" s="3"/>
      <c r="V30" s="3"/>
    </row>
    <row r="31" spans="1:22" ht="13">
      <c r="A31" s="3"/>
      <c r="B31" s="97" t="s">
        <v>900</v>
      </c>
      <c r="C31" s="98"/>
      <c r="D31" s="98"/>
      <c r="E31" s="98"/>
      <c r="F31" s="98"/>
      <c r="G31" s="99"/>
      <c r="H31" s="3"/>
      <c r="I31" s="3"/>
      <c r="J31" s="3"/>
      <c r="K31" s="85"/>
      <c r="L31" s="86"/>
      <c r="M31" s="86"/>
      <c r="N31" s="87"/>
      <c r="O31" s="3"/>
      <c r="P31" s="3"/>
      <c r="Q31" s="3"/>
      <c r="R31" s="3"/>
      <c r="S31" s="3"/>
      <c r="T31" s="3"/>
      <c r="U31" s="3"/>
      <c r="V31" s="3"/>
    </row>
    <row r="32" spans="1:22">
      <c r="A32" s="3"/>
      <c r="B32" s="100"/>
      <c r="C32" s="101"/>
      <c r="D32" s="101"/>
      <c r="E32" s="102" t="s">
        <v>195</v>
      </c>
      <c r="F32" s="128">
        <v>1</v>
      </c>
      <c r="G32" s="103" t="s">
        <v>860</v>
      </c>
      <c r="H32" s="3"/>
      <c r="I32" s="3"/>
      <c r="J32" s="3"/>
      <c r="K32" s="85"/>
      <c r="L32" s="86"/>
      <c r="M32" s="86"/>
      <c r="N32" s="87"/>
      <c r="O32" s="3"/>
      <c r="P32" s="82" t="s">
        <v>904</v>
      </c>
      <c r="Q32" s="83"/>
      <c r="R32" s="83"/>
      <c r="S32" s="84"/>
      <c r="T32" s="3"/>
      <c r="U32" s="3"/>
      <c r="V32" s="3"/>
    </row>
    <row r="33" spans="1:22">
      <c r="A33" s="3"/>
      <c r="B33" s="100"/>
      <c r="C33" s="101"/>
      <c r="D33" s="101"/>
      <c r="E33" s="102" t="s">
        <v>897</v>
      </c>
      <c r="F33" s="104">
        <f>10^(F32/20)</f>
        <v>1.1220184543019636</v>
      </c>
      <c r="G33" s="103" t="s">
        <v>861</v>
      </c>
      <c r="H33" s="3"/>
      <c r="I33" s="3"/>
      <c r="J33" s="3"/>
      <c r="K33" s="85"/>
      <c r="L33" s="86"/>
      <c r="M33" s="86"/>
      <c r="N33" s="87"/>
      <c r="O33" s="3"/>
      <c r="P33" s="85" t="s">
        <v>905</v>
      </c>
      <c r="Q33" s="86"/>
      <c r="R33" s="86"/>
      <c r="S33" s="87"/>
      <c r="T33" s="3"/>
      <c r="U33" s="3"/>
      <c r="V33" s="3"/>
    </row>
    <row r="34" spans="1:22">
      <c r="A34" s="3"/>
      <c r="B34" s="100"/>
      <c r="C34" s="101"/>
      <c r="D34" s="101"/>
      <c r="E34" s="102" t="s">
        <v>898</v>
      </c>
      <c r="F34" s="128">
        <v>1</v>
      </c>
      <c r="G34" s="103" t="s">
        <v>860</v>
      </c>
      <c r="H34" s="3"/>
      <c r="I34" s="3"/>
      <c r="J34" s="3"/>
      <c r="K34" s="85"/>
      <c r="L34" s="86"/>
      <c r="M34" s="86"/>
      <c r="N34" s="87"/>
      <c r="O34" s="3"/>
      <c r="P34" s="88" t="s">
        <v>0</v>
      </c>
      <c r="Q34" s="89"/>
      <c r="R34" s="89"/>
      <c r="S34" s="90"/>
      <c r="T34" s="3"/>
      <c r="U34" s="3"/>
      <c r="V34" s="3"/>
    </row>
    <row r="35" spans="1:22">
      <c r="A35" s="3"/>
      <c r="B35" s="100"/>
      <c r="C35" s="101"/>
      <c r="D35" s="101"/>
      <c r="E35" s="102" t="s">
        <v>899</v>
      </c>
      <c r="F35" s="104">
        <f>10^(F34/20)</f>
        <v>1.1220184543019636</v>
      </c>
      <c r="G35" s="103" t="s">
        <v>861</v>
      </c>
      <c r="H35" s="3"/>
      <c r="I35" s="3"/>
      <c r="J35" s="3"/>
      <c r="K35" s="85"/>
      <c r="L35" s="86"/>
      <c r="M35" s="86"/>
      <c r="N35" s="87"/>
      <c r="O35" s="3"/>
      <c r="P35" s="3"/>
      <c r="Q35" s="3"/>
      <c r="R35" s="3"/>
      <c r="S35" s="3"/>
      <c r="T35" s="3"/>
      <c r="U35" s="3"/>
      <c r="V35" s="3"/>
    </row>
    <row r="36" spans="1:22">
      <c r="A36" s="3"/>
      <c r="B36" s="100"/>
      <c r="C36" s="101"/>
      <c r="D36" s="101"/>
      <c r="E36" s="102" t="s">
        <v>194</v>
      </c>
      <c r="F36" s="129">
        <v>90</v>
      </c>
      <c r="G36" s="103" t="s">
        <v>862</v>
      </c>
      <c r="H36" s="3"/>
      <c r="I36" s="3"/>
      <c r="J36" s="3"/>
      <c r="K36" s="85"/>
      <c r="L36" s="86"/>
      <c r="M36" s="86"/>
      <c r="N36" s="87"/>
      <c r="O36" s="3"/>
      <c r="P36" s="3" t="s">
        <v>715</v>
      </c>
      <c r="Q36" s="3"/>
      <c r="R36" s="3"/>
      <c r="S36" s="3"/>
      <c r="T36" s="3"/>
      <c r="U36" s="3"/>
      <c r="V36" s="3"/>
    </row>
    <row r="37" spans="1:22">
      <c r="A37" s="3"/>
      <c r="B37" s="100"/>
      <c r="C37" s="101"/>
      <c r="D37" s="101"/>
      <c r="E37" s="102" t="s">
        <v>194</v>
      </c>
      <c r="F37" s="81">
        <f>RADIANS(F36)</f>
        <v>1.5707963267948966</v>
      </c>
      <c r="G37" s="103" t="s">
        <v>863</v>
      </c>
      <c r="H37" s="3"/>
      <c r="I37" s="3"/>
      <c r="J37" s="3"/>
      <c r="K37" s="85"/>
      <c r="L37" s="86"/>
      <c r="M37" s="86"/>
      <c r="N37" s="87"/>
      <c r="O37" s="3"/>
      <c r="P37" s="3"/>
      <c r="Q37" s="3"/>
      <c r="R37" s="3"/>
      <c r="S37" s="3"/>
      <c r="T37" s="3"/>
      <c r="U37" s="3"/>
      <c r="V37" s="3"/>
    </row>
    <row r="38" spans="1:22">
      <c r="A38" s="3"/>
      <c r="B38" s="100"/>
      <c r="C38" s="101"/>
      <c r="D38" s="101"/>
      <c r="E38" s="101"/>
      <c r="F38" s="31"/>
      <c r="G38" s="105"/>
      <c r="H38" s="3"/>
      <c r="I38" s="3"/>
      <c r="J38" s="3"/>
      <c r="K38" s="88"/>
      <c r="L38" s="89"/>
      <c r="M38" s="89"/>
      <c r="N38" s="90"/>
      <c r="O38" s="3"/>
      <c r="P38" s="3"/>
      <c r="Q38" s="3"/>
      <c r="R38" s="3"/>
      <c r="S38" s="3"/>
      <c r="T38" s="3"/>
      <c r="U38" s="3"/>
      <c r="V38" s="3"/>
    </row>
    <row r="39" spans="1:22" ht="13" thickBot="1">
      <c r="A39" s="3"/>
      <c r="B39" s="100"/>
      <c r="C39" s="101"/>
      <c r="D39" s="101"/>
      <c r="E39" s="102" t="s">
        <v>864</v>
      </c>
      <c r="F39" s="106">
        <f>0.5*(1+((1-F33^2)*(1-F35^2)*COS(2*F37)+4*F33*F35)/((1+F33^2)*(1+F35^2)))</f>
        <v>0.98686150654198734</v>
      </c>
      <c r="G39" s="103" t="s">
        <v>861</v>
      </c>
      <c r="H39" s="3"/>
      <c r="I39" s="3"/>
      <c r="J39" s="3"/>
      <c r="K39" s="3"/>
      <c r="L39" s="3"/>
      <c r="M39" s="3"/>
      <c r="N39" s="3"/>
      <c r="O39" s="3"/>
      <c r="P39" s="3"/>
      <c r="Q39" s="3"/>
      <c r="R39" s="3"/>
      <c r="S39" s="3"/>
      <c r="T39" s="3"/>
      <c r="U39" s="3"/>
      <c r="V39" s="3"/>
    </row>
    <row r="40" spans="1:22" ht="13.5" thickBot="1">
      <c r="A40" s="3"/>
      <c r="B40" s="100"/>
      <c r="C40" s="101"/>
      <c r="D40" s="101"/>
      <c r="E40" s="102" t="s">
        <v>865</v>
      </c>
      <c r="F40" s="92">
        <f>-10*LOG(F39)</f>
        <v>5.7437907597720189E-2</v>
      </c>
      <c r="G40" s="103" t="s">
        <v>860</v>
      </c>
      <c r="H40" s="3"/>
      <c r="I40" s="3"/>
      <c r="J40" s="3"/>
      <c r="K40" s="3"/>
      <c r="L40" s="4" t="s">
        <v>895</v>
      </c>
      <c r="M40" s="3"/>
      <c r="N40" s="3"/>
      <c r="O40" s="3"/>
      <c r="P40" s="3"/>
      <c r="Q40" s="3"/>
      <c r="R40" s="3"/>
      <c r="S40" s="3"/>
      <c r="T40" s="3"/>
      <c r="U40" s="3"/>
      <c r="V40" s="3"/>
    </row>
    <row r="41" spans="1:22">
      <c r="A41" s="3"/>
      <c r="B41" s="100"/>
      <c r="C41" s="101"/>
      <c r="D41" s="101"/>
      <c r="E41" s="102"/>
      <c r="F41" s="107"/>
      <c r="G41" s="103"/>
      <c r="H41" s="3"/>
      <c r="I41" s="3"/>
      <c r="J41" s="3"/>
      <c r="K41" s="3"/>
      <c r="L41" s="3"/>
      <c r="M41" s="3"/>
      <c r="N41" s="3"/>
      <c r="O41" s="3"/>
      <c r="P41" s="3"/>
      <c r="Q41" s="3"/>
      <c r="R41" s="3"/>
      <c r="S41" s="3"/>
      <c r="T41" s="3"/>
      <c r="U41" s="3"/>
      <c r="V41" s="3"/>
    </row>
    <row r="42" spans="1:22" ht="13">
      <c r="A42" s="3"/>
      <c r="B42" s="97" t="s">
        <v>906</v>
      </c>
      <c r="C42" s="98"/>
      <c r="D42" s="98"/>
      <c r="E42" s="108"/>
      <c r="F42" s="109"/>
      <c r="G42" s="110"/>
      <c r="H42" s="3"/>
      <c r="I42" s="4" t="s">
        <v>120</v>
      </c>
      <c r="J42" s="230" t="s">
        <v>121</v>
      </c>
      <c r="K42" s="3"/>
      <c r="L42" s="3"/>
      <c r="M42" s="3"/>
      <c r="N42" s="3"/>
      <c r="O42" s="3"/>
      <c r="P42" s="3"/>
      <c r="Q42" s="3"/>
      <c r="R42" s="3"/>
      <c r="S42" s="3"/>
      <c r="T42" s="3"/>
      <c r="U42" s="3"/>
      <c r="V42" s="3"/>
    </row>
    <row r="43" spans="1:22">
      <c r="A43" s="3"/>
      <c r="B43" s="100"/>
      <c r="C43" s="101" t="s">
        <v>888</v>
      </c>
      <c r="D43" s="101"/>
      <c r="E43" s="102"/>
      <c r="F43" s="833">
        <f>1-F39</f>
        <v>1.3138493458012657E-2</v>
      </c>
      <c r="G43" s="103"/>
      <c r="H43" s="3"/>
      <c r="I43" s="3"/>
      <c r="J43" s="3"/>
      <c r="K43" s="3"/>
      <c r="L43" s="3"/>
      <c r="M43" s="3"/>
      <c r="N43" s="3"/>
      <c r="O43" s="3"/>
      <c r="P43" s="3"/>
      <c r="Q43" s="3"/>
      <c r="R43" s="3"/>
      <c r="S43" s="3"/>
      <c r="T43" s="3"/>
      <c r="U43" s="3"/>
      <c r="V43" s="3"/>
    </row>
    <row r="44" spans="1:22">
      <c r="A44" s="3"/>
      <c r="B44" s="100"/>
      <c r="C44" s="101" t="s">
        <v>888</v>
      </c>
      <c r="D44" s="101"/>
      <c r="E44" s="101"/>
      <c r="F44" s="834">
        <f>10*LOG10(1-F39)</f>
        <v>-18.814544308479665</v>
      </c>
      <c r="G44" s="103" t="s">
        <v>860</v>
      </c>
      <c r="H44" s="839"/>
      <c r="I44" s="3"/>
      <c r="J44" s="3"/>
      <c r="K44" s="3"/>
      <c r="L44" s="3"/>
      <c r="M44" s="3"/>
      <c r="N44" s="3"/>
      <c r="O44" s="3"/>
      <c r="P44" s="3"/>
      <c r="Q44" s="3"/>
      <c r="R44" s="3"/>
      <c r="S44" s="3"/>
      <c r="T44" s="3"/>
      <c r="U44" s="3"/>
      <c r="V44" s="3"/>
    </row>
    <row r="45" spans="1:22" ht="13" thickBot="1">
      <c r="A45" s="3"/>
      <c r="B45" s="100"/>
      <c r="C45" s="101" t="s">
        <v>889</v>
      </c>
      <c r="D45" s="101"/>
      <c r="E45" s="101"/>
      <c r="F45" s="832">
        <f>F40-F44</f>
        <v>18.871982216077384</v>
      </c>
      <c r="G45" s="103" t="s">
        <v>860</v>
      </c>
      <c r="H45" s="3"/>
      <c r="I45" s="3" t="s">
        <v>715</v>
      </c>
      <c r="J45" s="3"/>
      <c r="K45" s="3"/>
      <c r="L45" s="3"/>
      <c r="M45" s="3"/>
      <c r="N45" s="3"/>
      <c r="O45" s="3"/>
      <c r="P45" s="3"/>
      <c r="Q45" s="3"/>
      <c r="R45" s="3"/>
      <c r="S45" s="3"/>
      <c r="T45" s="3"/>
      <c r="U45" s="3"/>
      <c r="V45" s="3"/>
    </row>
    <row r="46" spans="1:22" ht="13" thickBot="1">
      <c r="A46" s="3"/>
      <c r="B46" s="111"/>
      <c r="C46" s="112"/>
      <c r="D46" s="112"/>
      <c r="E46" s="112"/>
      <c r="F46" s="112" t="s">
        <v>715</v>
      </c>
      <c r="G46" s="113"/>
      <c r="H46" s="3"/>
      <c r="I46" s="3"/>
      <c r="J46" s="3"/>
      <c r="K46" s="3"/>
      <c r="L46" s="3"/>
      <c r="M46" s="3"/>
      <c r="N46" s="3"/>
      <c r="O46" s="3"/>
      <c r="P46" s="3"/>
      <c r="Q46" s="3"/>
      <c r="R46" s="3"/>
      <c r="S46" s="3"/>
      <c r="T46" s="3"/>
      <c r="U46" s="3"/>
      <c r="V46" s="3"/>
    </row>
    <row r="47" spans="1:22">
      <c r="A47" s="3"/>
      <c r="B47" s="3"/>
      <c r="C47" s="3"/>
      <c r="D47" s="3"/>
      <c r="E47" s="3"/>
      <c r="F47" s="3"/>
      <c r="G47" s="3"/>
      <c r="H47" s="3"/>
      <c r="I47" s="3" t="s">
        <v>896</v>
      </c>
      <c r="J47" s="3" t="s">
        <v>715</v>
      </c>
      <c r="K47" s="3"/>
      <c r="L47" s="3"/>
      <c r="M47" s="3"/>
      <c r="N47" s="3"/>
      <c r="O47" s="3"/>
      <c r="P47" s="3"/>
      <c r="Q47" s="3"/>
      <c r="R47" s="3"/>
      <c r="S47" s="3"/>
      <c r="T47" s="3"/>
      <c r="U47" s="3"/>
      <c r="V47" s="3"/>
    </row>
    <row r="48" spans="1:22" ht="13" thickBot="1">
      <c r="A48" s="3"/>
      <c r="B48" s="3"/>
      <c r="C48" s="3"/>
      <c r="D48" s="3"/>
      <c r="E48" s="3"/>
      <c r="F48" s="3"/>
      <c r="G48" s="3"/>
      <c r="H48" s="3"/>
      <c r="I48" s="3"/>
      <c r="J48" s="3"/>
      <c r="K48" s="3"/>
      <c r="L48" s="3"/>
      <c r="M48" s="3"/>
      <c r="N48" s="3"/>
      <c r="O48" s="3"/>
      <c r="P48" s="3"/>
      <c r="Q48" s="3"/>
      <c r="R48" s="3"/>
      <c r="S48" s="3"/>
      <c r="T48" s="3"/>
      <c r="U48" s="3"/>
      <c r="V48" s="3"/>
    </row>
    <row r="49" spans="1:22" ht="13.5" thickBot="1">
      <c r="A49" s="3"/>
      <c r="B49" s="187" t="s">
        <v>123</v>
      </c>
      <c r="C49" s="186"/>
      <c r="D49" s="232" t="s">
        <v>125</v>
      </c>
      <c r="E49" s="3"/>
      <c r="F49" s="3"/>
      <c r="G49" s="3"/>
      <c r="H49" s="3"/>
      <c r="I49" s="3"/>
      <c r="J49" s="3"/>
      <c r="K49" s="3"/>
      <c r="L49" s="3"/>
      <c r="M49" s="3"/>
      <c r="N49" s="3"/>
      <c r="O49" s="3"/>
      <c r="P49" s="3"/>
      <c r="Q49" s="3"/>
      <c r="R49" s="3"/>
      <c r="S49" s="3"/>
      <c r="T49" s="3"/>
      <c r="U49" s="3"/>
      <c r="V49" s="3"/>
    </row>
    <row r="50" spans="1:22" ht="13">
      <c r="A50" s="3"/>
      <c r="B50" s="377" t="s">
        <v>715</v>
      </c>
      <c r="C50" s="95" t="s">
        <v>901</v>
      </c>
      <c r="D50" s="95"/>
      <c r="E50" s="80"/>
      <c r="F50" s="80"/>
      <c r="G50" s="96"/>
      <c r="H50" s="3"/>
      <c r="I50" s="3"/>
      <c r="J50" s="3"/>
      <c r="K50" s="3"/>
      <c r="L50" s="3"/>
      <c r="M50" s="3"/>
      <c r="N50" s="3"/>
      <c r="O50" s="3"/>
      <c r="P50" s="3"/>
      <c r="Q50" s="3"/>
      <c r="R50" s="3"/>
      <c r="S50" s="3"/>
      <c r="T50" s="3"/>
      <c r="U50" s="3"/>
      <c r="V50" s="3"/>
    </row>
    <row r="51" spans="1:22" ht="13">
      <c r="A51" s="3"/>
      <c r="B51" s="97" t="s">
        <v>900</v>
      </c>
      <c r="C51" s="98"/>
      <c r="D51" s="98"/>
      <c r="E51" s="98"/>
      <c r="F51" s="98"/>
      <c r="G51" s="99"/>
      <c r="H51" s="3"/>
      <c r="I51" s="3"/>
      <c r="J51" s="3"/>
      <c r="K51" s="3"/>
      <c r="L51" s="3"/>
      <c r="M51" s="3"/>
      <c r="N51" s="3"/>
      <c r="O51" s="3"/>
      <c r="P51" s="3"/>
      <c r="Q51" s="3"/>
      <c r="R51" s="3"/>
      <c r="S51" s="3"/>
      <c r="T51" s="3"/>
      <c r="U51" s="3"/>
      <c r="V51" s="3"/>
    </row>
    <row r="52" spans="1:22">
      <c r="A52" s="3"/>
      <c r="B52" s="100"/>
      <c r="C52" s="101"/>
      <c r="D52" s="101"/>
      <c r="E52" s="102" t="s">
        <v>195</v>
      </c>
      <c r="F52" s="128">
        <v>1</v>
      </c>
      <c r="G52" s="103" t="s">
        <v>860</v>
      </c>
      <c r="H52" s="3"/>
      <c r="I52" s="3"/>
      <c r="J52" s="3"/>
      <c r="K52" s="3"/>
      <c r="L52" s="3"/>
      <c r="M52" s="3"/>
      <c r="N52" s="3"/>
      <c r="O52" s="3"/>
      <c r="P52" s="3"/>
      <c r="Q52" s="3"/>
      <c r="R52" s="3"/>
      <c r="S52" s="3"/>
      <c r="T52" s="3"/>
      <c r="U52" s="3"/>
      <c r="V52" s="3"/>
    </row>
    <row r="53" spans="1:22">
      <c r="A53" s="3"/>
      <c r="B53" s="100"/>
      <c r="C53" s="101"/>
      <c r="D53" s="101"/>
      <c r="E53" s="102" t="s">
        <v>897</v>
      </c>
      <c r="F53" s="104">
        <f>10^(F52/20)</f>
        <v>1.1220184543019636</v>
      </c>
      <c r="G53" s="103" t="s">
        <v>861</v>
      </c>
      <c r="H53" s="3"/>
      <c r="I53" s="3"/>
      <c r="J53" s="3"/>
      <c r="K53" s="3"/>
      <c r="L53" s="3"/>
      <c r="M53" s="3"/>
      <c r="N53" s="3"/>
      <c r="O53" s="3"/>
      <c r="P53" s="3"/>
      <c r="Q53" s="3"/>
      <c r="R53" s="3"/>
      <c r="S53" s="3"/>
      <c r="T53" s="3"/>
      <c r="U53" s="3"/>
      <c r="V53" s="3"/>
    </row>
    <row r="54" spans="1:22">
      <c r="A54" s="3"/>
      <c r="B54" s="100"/>
      <c r="C54" s="101"/>
      <c r="D54" s="101"/>
      <c r="E54" s="102" t="s">
        <v>898</v>
      </c>
      <c r="F54" s="128">
        <v>1</v>
      </c>
      <c r="G54" s="103" t="s">
        <v>860</v>
      </c>
      <c r="H54" s="3"/>
      <c r="I54" s="3"/>
      <c r="J54" s="3"/>
      <c r="K54" s="3"/>
      <c r="L54" s="3"/>
      <c r="M54" s="3" t="s">
        <v>715</v>
      </c>
      <c r="N54" s="3"/>
      <c r="O54" s="3"/>
      <c r="P54" s="3"/>
      <c r="Q54" s="3"/>
      <c r="R54" s="3"/>
      <c r="S54" s="3"/>
      <c r="T54" s="3"/>
      <c r="U54" s="3"/>
      <c r="V54" s="3"/>
    </row>
    <row r="55" spans="1:22">
      <c r="A55" s="3"/>
      <c r="B55" s="100"/>
      <c r="C55" s="101"/>
      <c r="D55" s="101"/>
      <c r="E55" s="102" t="s">
        <v>899</v>
      </c>
      <c r="F55" s="104">
        <f>10^(F54/20)</f>
        <v>1.1220184543019636</v>
      </c>
      <c r="G55" s="103" t="s">
        <v>861</v>
      </c>
      <c r="H55" s="3"/>
      <c r="I55" s="3"/>
      <c r="J55" s="3"/>
      <c r="K55" s="3"/>
      <c r="L55" s="3"/>
      <c r="M55" s="3"/>
      <c r="N55" s="3"/>
      <c r="O55" s="3"/>
      <c r="P55" s="3"/>
      <c r="Q55" s="3"/>
      <c r="R55" s="3"/>
      <c r="S55" s="3"/>
      <c r="T55" s="3"/>
      <c r="U55" s="3"/>
      <c r="V55" s="3"/>
    </row>
    <row r="56" spans="1:22">
      <c r="A56" s="3"/>
      <c r="B56" s="100"/>
      <c r="C56" s="101"/>
      <c r="D56" s="101"/>
      <c r="E56" s="102" t="s">
        <v>194</v>
      </c>
      <c r="F56" s="129">
        <v>90</v>
      </c>
      <c r="G56" s="103" t="s">
        <v>862</v>
      </c>
      <c r="H56" s="3"/>
      <c r="I56" s="3"/>
      <c r="J56" s="3"/>
      <c r="K56" s="3"/>
      <c r="L56" s="3"/>
      <c r="M56" s="3"/>
      <c r="N56" s="3"/>
      <c r="O56" s="3"/>
      <c r="P56" s="3"/>
      <c r="Q56" s="3"/>
      <c r="R56" s="3"/>
      <c r="S56" s="3"/>
      <c r="T56" s="3"/>
      <c r="U56" s="3"/>
      <c r="V56" s="3"/>
    </row>
    <row r="57" spans="1:22">
      <c r="A57" s="3"/>
      <c r="B57" s="100"/>
      <c r="C57" s="101"/>
      <c r="D57" s="101"/>
      <c r="E57" s="102" t="s">
        <v>194</v>
      </c>
      <c r="F57" s="81">
        <f>RADIANS(F56)</f>
        <v>1.5707963267948966</v>
      </c>
      <c r="G57" s="103" t="s">
        <v>863</v>
      </c>
      <c r="H57" s="3"/>
      <c r="I57" s="3"/>
      <c r="J57" s="3"/>
      <c r="K57" s="3"/>
      <c r="L57" s="3"/>
      <c r="M57" s="3"/>
      <c r="N57" s="3"/>
      <c r="O57" s="3"/>
      <c r="P57" s="3"/>
      <c r="Q57" s="3"/>
      <c r="R57" s="3"/>
      <c r="S57" s="3"/>
      <c r="T57" s="3"/>
      <c r="U57" s="3"/>
      <c r="V57" s="3"/>
    </row>
    <row r="58" spans="1:22">
      <c r="A58" s="3"/>
      <c r="B58" s="100"/>
      <c r="C58" s="101"/>
      <c r="D58" s="101"/>
      <c r="E58" s="101"/>
      <c r="F58" s="31"/>
      <c r="G58" s="105"/>
      <c r="H58" s="3"/>
      <c r="I58" s="3"/>
      <c r="J58" s="3"/>
      <c r="K58" s="3"/>
      <c r="L58" s="3"/>
      <c r="M58" s="3"/>
      <c r="N58" s="3"/>
      <c r="O58" s="3"/>
      <c r="P58" s="3"/>
      <c r="Q58" s="3"/>
      <c r="R58" s="3"/>
      <c r="S58" s="3"/>
      <c r="T58" s="3"/>
      <c r="U58" s="3"/>
      <c r="V58" s="3"/>
    </row>
    <row r="59" spans="1:22" ht="13" thickBot="1">
      <c r="A59" s="3"/>
      <c r="B59" s="100"/>
      <c r="C59" s="101"/>
      <c r="D59" s="101"/>
      <c r="E59" s="102" t="s">
        <v>864</v>
      </c>
      <c r="F59" s="106">
        <f>0.5*(1+((1-F53^2)*(1-F55^2)*COS(2*F57)+4*F53*F55)/((1+F53^2)*(1+F55^2)))</f>
        <v>0.98686150654198734</v>
      </c>
      <c r="G59" s="103" t="s">
        <v>861</v>
      </c>
      <c r="H59" s="3"/>
      <c r="I59" s="3"/>
      <c r="J59" s="3"/>
      <c r="K59" s="3"/>
      <c r="L59" s="3"/>
      <c r="M59" s="3"/>
      <c r="N59" s="3"/>
      <c r="O59" s="3"/>
      <c r="P59" s="3"/>
      <c r="Q59" s="3"/>
      <c r="R59" s="3"/>
      <c r="S59" s="3"/>
      <c r="T59" s="3"/>
      <c r="U59" s="3"/>
      <c r="V59" s="3"/>
    </row>
    <row r="60" spans="1:22" ht="13" thickBot="1">
      <c r="A60" s="3"/>
      <c r="B60" s="100"/>
      <c r="C60" s="101"/>
      <c r="D60" s="101"/>
      <c r="E60" s="102" t="s">
        <v>865</v>
      </c>
      <c r="F60" s="92">
        <f>-10*LOG(F59)</f>
        <v>5.7437907597720189E-2</v>
      </c>
      <c r="G60" s="103" t="s">
        <v>860</v>
      </c>
      <c r="H60" s="3"/>
      <c r="I60" s="3"/>
      <c r="J60" s="3"/>
      <c r="K60" s="3"/>
      <c r="L60" s="3"/>
      <c r="M60" s="3"/>
      <c r="N60" s="3"/>
      <c r="O60" s="3"/>
      <c r="P60" s="3"/>
      <c r="Q60" s="3"/>
      <c r="R60" s="3"/>
      <c r="S60" s="3"/>
      <c r="T60" s="3"/>
      <c r="U60" s="3"/>
      <c r="V60" s="3"/>
    </row>
    <row r="61" spans="1:22">
      <c r="A61" s="3"/>
      <c r="B61" s="100"/>
      <c r="C61" s="101"/>
      <c r="D61" s="101"/>
      <c r="E61" s="102"/>
      <c r="F61" s="107"/>
      <c r="G61" s="103"/>
      <c r="H61" s="3"/>
      <c r="I61" s="3"/>
      <c r="J61" s="3"/>
      <c r="K61" s="3"/>
      <c r="L61" s="3"/>
      <c r="M61" s="3"/>
      <c r="N61" s="3"/>
      <c r="O61" s="3"/>
      <c r="P61" s="3"/>
      <c r="Q61" s="3"/>
      <c r="R61" s="3"/>
      <c r="S61" s="3"/>
      <c r="T61" s="3"/>
      <c r="U61" s="3"/>
      <c r="V61" s="3"/>
    </row>
    <row r="62" spans="1:22" ht="13">
      <c r="A62" s="3"/>
      <c r="B62" s="97" t="s">
        <v>906</v>
      </c>
      <c r="C62" s="98"/>
      <c r="D62" s="98"/>
      <c r="E62" s="108"/>
      <c r="F62" s="109"/>
      <c r="G62" s="110"/>
      <c r="H62" s="3"/>
      <c r="I62" s="3"/>
      <c r="J62" s="3"/>
      <c r="K62" s="3"/>
      <c r="L62" s="3"/>
      <c r="M62" s="3"/>
      <c r="N62" s="3"/>
      <c r="O62" s="3"/>
      <c r="P62" s="3"/>
      <c r="Q62" s="3"/>
      <c r="R62" s="3"/>
      <c r="S62" s="3"/>
      <c r="T62" s="3"/>
      <c r="U62" s="3"/>
      <c r="V62" s="3"/>
    </row>
    <row r="63" spans="1:22">
      <c r="A63" s="3"/>
      <c r="B63" s="100"/>
      <c r="C63" s="101" t="s">
        <v>888</v>
      </c>
      <c r="D63" s="101"/>
      <c r="E63" s="102"/>
      <c r="F63" s="881">
        <f>1-F59</f>
        <v>1.3138493458012657E-2</v>
      </c>
      <c r="G63" s="103"/>
      <c r="H63" s="3"/>
      <c r="I63" s="3"/>
      <c r="J63" s="3"/>
      <c r="K63" s="3"/>
      <c r="L63" s="3"/>
      <c r="M63" s="3"/>
      <c r="N63" s="3"/>
      <c r="O63" s="3"/>
      <c r="P63" s="3"/>
      <c r="Q63" s="3"/>
      <c r="R63" s="3"/>
      <c r="S63" s="3"/>
      <c r="T63" s="3"/>
      <c r="U63" s="3"/>
      <c r="V63" s="3"/>
    </row>
    <row r="64" spans="1:22" ht="13" thickBot="1">
      <c r="A64" s="3"/>
      <c r="B64" s="100"/>
      <c r="C64" s="101" t="s">
        <v>888</v>
      </c>
      <c r="D64" s="101"/>
      <c r="E64" s="101"/>
      <c r="F64" s="882">
        <f>10*LOG10(1-F59)</f>
        <v>-18.814544308479665</v>
      </c>
      <c r="G64" s="103" t="s">
        <v>860</v>
      </c>
      <c r="H64" s="3"/>
      <c r="I64" s="3"/>
      <c r="J64" s="3"/>
      <c r="K64" s="3"/>
      <c r="L64" s="3"/>
      <c r="M64" s="3"/>
      <c r="N64" s="3"/>
      <c r="O64" s="3"/>
      <c r="P64" s="3"/>
      <c r="Q64" s="3"/>
      <c r="R64" s="3"/>
      <c r="S64" s="3"/>
      <c r="T64" s="3"/>
      <c r="U64" s="3"/>
      <c r="V64" s="3"/>
    </row>
    <row r="65" spans="1:22" ht="13" thickBot="1">
      <c r="A65" s="3"/>
      <c r="B65" s="100"/>
      <c r="C65" s="101" t="s">
        <v>889</v>
      </c>
      <c r="D65" s="101"/>
      <c r="E65" s="101"/>
      <c r="F65" s="93">
        <f>F60-F64</f>
        <v>18.871982216077384</v>
      </c>
      <c r="G65" s="103" t="s">
        <v>860</v>
      </c>
      <c r="H65" s="3"/>
      <c r="I65" s="3"/>
      <c r="J65" s="3"/>
      <c r="K65" s="3"/>
      <c r="L65" s="3"/>
      <c r="M65" s="3"/>
      <c r="N65" s="3"/>
      <c r="O65" s="3"/>
      <c r="P65" s="3"/>
      <c r="Q65" s="3"/>
      <c r="R65" s="3"/>
      <c r="S65" s="3"/>
      <c r="T65" s="3"/>
      <c r="U65" s="3"/>
      <c r="V65" s="3"/>
    </row>
    <row r="66" spans="1:22" ht="13" thickBot="1">
      <c r="A66" s="3"/>
      <c r="B66" s="111"/>
      <c r="C66" s="112"/>
      <c r="D66" s="112"/>
      <c r="E66" s="112"/>
      <c r="F66" s="112" t="s">
        <v>715</v>
      </c>
      <c r="G66" s="113"/>
      <c r="H66" s="3"/>
      <c r="I66" s="3"/>
      <c r="J66" s="3"/>
      <c r="K66" s="3"/>
      <c r="L66" s="3"/>
      <c r="M66" s="3"/>
      <c r="N66" s="3"/>
      <c r="O66" s="3"/>
      <c r="P66" s="3"/>
      <c r="Q66" s="3"/>
      <c r="R66" s="3"/>
      <c r="S66" s="3"/>
      <c r="T66" s="3"/>
      <c r="U66" s="3"/>
      <c r="V66" s="3"/>
    </row>
    <row r="67" spans="1:22">
      <c r="A67" s="3"/>
      <c r="B67" s="101"/>
      <c r="C67" s="101"/>
      <c r="D67" s="101"/>
      <c r="E67" s="101"/>
      <c r="F67" s="101"/>
      <c r="G67" s="101"/>
      <c r="H67" s="3"/>
      <c r="I67" s="3"/>
      <c r="J67" s="3"/>
      <c r="K67" s="3"/>
      <c r="L67" s="3"/>
      <c r="M67" s="3"/>
      <c r="N67" s="3"/>
      <c r="O67" s="3"/>
      <c r="P67" s="3"/>
      <c r="Q67" s="3"/>
      <c r="R67" s="3"/>
      <c r="S67" s="3"/>
      <c r="T67" s="3"/>
      <c r="U67" s="3"/>
      <c r="V67" s="3"/>
    </row>
    <row r="68" spans="1:22">
      <c r="A68" s="3"/>
      <c r="B68" s="101"/>
      <c r="C68" s="101"/>
      <c r="D68" s="101"/>
      <c r="E68" s="101"/>
      <c r="F68" s="101"/>
      <c r="G68" s="101"/>
      <c r="H68" s="3"/>
      <c r="I68" s="3"/>
      <c r="J68" s="3"/>
      <c r="K68" s="3"/>
      <c r="L68" s="3"/>
      <c r="M68" s="3"/>
      <c r="N68" s="3"/>
      <c r="O68" s="3"/>
      <c r="P68" s="3"/>
      <c r="Q68" s="3"/>
      <c r="R68" s="3"/>
      <c r="S68" s="3"/>
      <c r="T68" s="3"/>
      <c r="U68" s="3"/>
      <c r="V68" s="3"/>
    </row>
    <row r="69" spans="1:22">
      <c r="A69" s="3"/>
      <c r="B69" s="3"/>
      <c r="C69" s="3"/>
      <c r="D69" s="3"/>
      <c r="E69" s="3"/>
      <c r="F69" s="3"/>
      <c r="G69" s="3"/>
      <c r="H69" s="3"/>
      <c r="I69" s="3"/>
      <c r="J69" s="3"/>
      <c r="K69" s="3"/>
      <c r="L69" s="3"/>
      <c r="M69" s="3"/>
      <c r="N69" s="3"/>
      <c r="O69" s="3"/>
      <c r="P69" s="3"/>
      <c r="Q69" s="3"/>
      <c r="R69" s="3"/>
      <c r="S69" s="3"/>
      <c r="T69" s="3"/>
      <c r="U69" s="3"/>
      <c r="V69" s="3"/>
    </row>
    <row r="70" spans="1:22" ht="13">
      <c r="A70" s="3"/>
      <c r="B70" s="565"/>
      <c r="C70" s="565"/>
      <c r="D70" s="565"/>
      <c r="E70" s="565"/>
      <c r="F70" s="566" t="s">
        <v>907</v>
      </c>
      <c r="G70" s="567"/>
      <c r="H70" s="567"/>
      <c r="I70" s="567" t="s">
        <v>715</v>
      </c>
      <c r="J70" s="567"/>
      <c r="K70" s="3"/>
      <c r="L70" s="3"/>
      <c r="M70" s="3"/>
      <c r="N70" s="3"/>
      <c r="O70" s="3"/>
      <c r="P70" s="3"/>
      <c r="Q70" s="3"/>
      <c r="R70" s="3"/>
      <c r="S70" s="3"/>
      <c r="T70" s="3"/>
      <c r="U70" s="3"/>
      <c r="V70" s="3"/>
    </row>
    <row r="71" spans="1:22" ht="13">
      <c r="A71" s="3"/>
      <c r="B71" s="23"/>
      <c r="C71" s="23"/>
      <c r="D71" s="47" t="s">
        <v>908</v>
      </c>
      <c r="E71" s="23"/>
      <c r="F71" s="47" t="s">
        <v>909</v>
      </c>
      <c r="G71" s="23"/>
      <c r="H71" s="563" t="s">
        <v>910</v>
      </c>
      <c r="I71" s="23"/>
      <c r="J71" s="564" t="s">
        <v>892</v>
      </c>
      <c r="K71" s="3"/>
      <c r="L71" s="3"/>
      <c r="M71" s="3"/>
      <c r="N71" s="3"/>
      <c r="O71" s="3"/>
      <c r="P71" s="3"/>
      <c r="Q71" s="3"/>
      <c r="R71" s="3"/>
      <c r="S71" s="3"/>
      <c r="T71" s="3"/>
      <c r="U71" s="3"/>
      <c r="V71" s="3"/>
    </row>
    <row r="72" spans="1:22" ht="13">
      <c r="A72" s="3"/>
      <c r="B72" s="23"/>
      <c r="C72" s="23"/>
      <c r="D72" s="564" t="s">
        <v>890</v>
      </c>
      <c r="E72" s="564"/>
      <c r="F72" s="564" t="s">
        <v>891</v>
      </c>
      <c r="G72" s="564"/>
      <c r="H72" s="564" t="s">
        <v>894</v>
      </c>
      <c r="I72" s="23"/>
      <c r="J72" s="564" t="s">
        <v>893</v>
      </c>
      <c r="K72" s="3"/>
      <c r="L72" s="3"/>
      <c r="M72" s="3"/>
      <c r="N72" s="3"/>
      <c r="O72" s="3"/>
      <c r="P72" s="3"/>
      <c r="Q72" s="3"/>
      <c r="R72" s="3"/>
      <c r="S72" s="3"/>
      <c r="T72" s="3"/>
      <c r="U72" s="3"/>
      <c r="V72" s="3"/>
    </row>
    <row r="73" spans="1:22" ht="13">
      <c r="A73" s="3"/>
      <c r="B73" s="23"/>
      <c r="C73" s="23"/>
      <c r="D73" s="564" t="s">
        <v>893</v>
      </c>
      <c r="E73" s="564"/>
      <c r="F73" s="564" t="s">
        <v>893</v>
      </c>
      <c r="G73" s="564"/>
      <c r="H73" s="564"/>
      <c r="I73" s="23"/>
      <c r="J73" s="564"/>
      <c r="K73" s="3"/>
      <c r="L73" s="3"/>
      <c r="M73" s="3"/>
      <c r="N73" s="3"/>
      <c r="O73" s="3"/>
      <c r="P73" s="3"/>
      <c r="Q73" s="3"/>
      <c r="R73" s="3"/>
      <c r="S73" s="3"/>
      <c r="T73" s="3"/>
      <c r="U73" s="3"/>
      <c r="V73" s="3"/>
    </row>
    <row r="74" spans="1:22">
      <c r="A74" s="3"/>
      <c r="B74" s="23"/>
      <c r="C74" s="23"/>
      <c r="D74" s="23"/>
      <c r="E74" s="23"/>
      <c r="F74" s="23"/>
      <c r="G74" s="23"/>
      <c r="H74" s="23"/>
      <c r="I74" s="23"/>
      <c r="J74" s="23"/>
      <c r="K74" s="3"/>
      <c r="L74" s="3"/>
      <c r="M74" s="3"/>
      <c r="N74" s="3"/>
      <c r="O74" s="3"/>
      <c r="P74" s="3"/>
      <c r="Q74" s="3"/>
      <c r="R74" s="3"/>
      <c r="S74" s="3"/>
      <c r="T74" s="3"/>
      <c r="U74" s="3"/>
      <c r="V74" s="3"/>
    </row>
    <row r="75" spans="1:22" ht="13">
      <c r="A75" s="3"/>
      <c r="B75" s="559" t="s">
        <v>916</v>
      </c>
      <c r="C75" s="560"/>
      <c r="D75" s="278">
        <v>0</v>
      </c>
      <c r="E75" s="278"/>
      <c r="F75" s="278">
        <v>0</v>
      </c>
      <c r="G75" s="278"/>
      <c r="H75" s="278">
        <v>90</v>
      </c>
      <c r="I75" s="278"/>
      <c r="J75" s="880">
        <v>0</v>
      </c>
      <c r="K75" s="3"/>
      <c r="L75" s="3"/>
      <c r="M75" s="3"/>
      <c r="N75" s="3"/>
      <c r="O75" s="3"/>
      <c r="P75" s="3"/>
      <c r="Q75" s="3"/>
      <c r="R75" s="3"/>
      <c r="S75" s="3"/>
      <c r="T75" s="3"/>
      <c r="U75" s="3"/>
      <c r="V75" s="3"/>
    </row>
    <row r="76" spans="1:22" ht="13">
      <c r="A76" s="3"/>
      <c r="B76" s="559" t="s">
        <v>915</v>
      </c>
      <c r="C76" s="560"/>
      <c r="D76" s="278">
        <v>0</v>
      </c>
      <c r="E76" s="278"/>
      <c r="F76" s="278">
        <v>1</v>
      </c>
      <c r="G76" s="278"/>
      <c r="H76" s="278">
        <v>90</v>
      </c>
      <c r="I76" s="278"/>
      <c r="J76" s="880">
        <v>-0.01</v>
      </c>
      <c r="K76" s="3"/>
      <c r="L76" s="3"/>
      <c r="M76" s="3"/>
      <c r="N76" s="3"/>
      <c r="O76" s="3"/>
      <c r="P76" s="3"/>
      <c r="Q76" s="3"/>
      <c r="R76" s="3"/>
      <c r="S76" s="3"/>
      <c r="T76" s="3"/>
      <c r="U76" s="3"/>
      <c r="V76" s="3"/>
    </row>
    <row r="77" spans="1:22">
      <c r="A77" s="3"/>
      <c r="B77" s="560"/>
      <c r="C77" s="560"/>
      <c r="D77" s="278">
        <v>0</v>
      </c>
      <c r="E77" s="278"/>
      <c r="F77" s="278">
        <v>2</v>
      </c>
      <c r="G77" s="278"/>
      <c r="H77" s="278">
        <v>90</v>
      </c>
      <c r="I77" s="278"/>
      <c r="J77" s="880">
        <v>-0.06</v>
      </c>
      <c r="K77" s="3"/>
      <c r="L77" s="3"/>
      <c r="M77" s="3"/>
      <c r="N77" s="3"/>
      <c r="O77" s="3"/>
      <c r="P77" s="3"/>
      <c r="Q77" s="3"/>
      <c r="R77" s="3"/>
      <c r="S77" s="3"/>
      <c r="T77" s="3"/>
      <c r="U77" s="3"/>
      <c r="V77" s="3"/>
    </row>
    <row r="78" spans="1:22" ht="13">
      <c r="A78" s="3"/>
      <c r="B78" s="560"/>
      <c r="C78" s="560"/>
      <c r="D78" s="278">
        <v>0</v>
      </c>
      <c r="E78" s="278"/>
      <c r="F78" s="278">
        <v>3</v>
      </c>
      <c r="G78" s="278"/>
      <c r="H78" s="278">
        <v>90</v>
      </c>
      <c r="I78" s="561"/>
      <c r="J78" s="880">
        <v>-0.13</v>
      </c>
      <c r="K78" s="3"/>
      <c r="L78" s="3"/>
      <c r="M78" s="3"/>
      <c r="N78" s="3"/>
      <c r="O78" s="3"/>
      <c r="P78" s="3"/>
      <c r="Q78" s="3"/>
      <c r="R78" s="3"/>
      <c r="S78" s="3"/>
      <c r="T78" s="3"/>
      <c r="U78" s="3"/>
      <c r="V78" s="3"/>
    </row>
    <row r="79" spans="1:22" ht="13">
      <c r="A79" s="3"/>
      <c r="B79" s="560"/>
      <c r="C79" s="560"/>
      <c r="D79" s="278">
        <v>0</v>
      </c>
      <c r="E79" s="278"/>
      <c r="F79" s="278">
        <v>6</v>
      </c>
      <c r="G79" s="278"/>
      <c r="H79" s="278">
        <v>90</v>
      </c>
      <c r="I79" s="561"/>
      <c r="J79" s="880">
        <v>-0.45</v>
      </c>
      <c r="K79" s="3"/>
      <c r="L79" s="3"/>
      <c r="M79" s="3"/>
      <c r="N79" s="3"/>
      <c r="O79" s="3"/>
      <c r="P79" s="3"/>
      <c r="Q79" s="3"/>
      <c r="R79" s="3"/>
      <c r="S79" s="3"/>
      <c r="T79" s="3"/>
      <c r="U79" s="3"/>
      <c r="V79" s="3"/>
    </row>
    <row r="80" spans="1:22">
      <c r="A80" s="3"/>
      <c r="B80" s="560"/>
      <c r="C80" s="560"/>
      <c r="D80" s="278">
        <v>0</v>
      </c>
      <c r="E80" s="278"/>
      <c r="F80" s="278">
        <v>10</v>
      </c>
      <c r="G80" s="278"/>
      <c r="H80" s="278">
        <v>90</v>
      </c>
      <c r="I80" s="278"/>
      <c r="J80" s="880">
        <v>-1.04</v>
      </c>
      <c r="K80" s="3"/>
      <c r="L80" s="3"/>
      <c r="M80" s="3"/>
      <c r="N80" s="3"/>
      <c r="O80" s="3"/>
      <c r="P80" s="3"/>
      <c r="Q80" s="3"/>
      <c r="R80" s="3"/>
      <c r="S80" s="3"/>
      <c r="T80" s="3"/>
      <c r="U80" s="3"/>
      <c r="V80" s="3"/>
    </row>
    <row r="81" spans="1:22">
      <c r="A81" s="3"/>
      <c r="B81" s="560"/>
      <c r="C81" s="560"/>
      <c r="D81" s="278">
        <v>0</v>
      </c>
      <c r="E81" s="278"/>
      <c r="F81" s="278">
        <v>30</v>
      </c>
      <c r="G81" s="278"/>
      <c r="H81" s="278">
        <v>90</v>
      </c>
      <c r="I81" s="278"/>
      <c r="J81" s="880">
        <v>-2.74</v>
      </c>
      <c r="K81" s="3"/>
      <c r="L81" s="114" t="s">
        <v>913</v>
      </c>
      <c r="M81" s="115"/>
      <c r="N81" s="115"/>
      <c r="O81" s="116"/>
      <c r="P81" s="3"/>
      <c r="Q81" s="3"/>
      <c r="R81" s="3"/>
      <c r="S81" s="3"/>
      <c r="T81" s="3"/>
      <c r="U81" s="3"/>
      <c r="V81" s="3"/>
    </row>
    <row r="82" spans="1:22">
      <c r="A82" s="3"/>
      <c r="B82" s="560"/>
      <c r="C82" s="560"/>
      <c r="D82" s="278">
        <v>0</v>
      </c>
      <c r="E82" s="278"/>
      <c r="F82" s="278">
        <v>30</v>
      </c>
      <c r="G82" s="278"/>
      <c r="H82" s="278">
        <v>0</v>
      </c>
      <c r="I82" s="278"/>
      <c r="J82" s="880">
        <v>-2.74</v>
      </c>
      <c r="K82" s="3"/>
      <c r="L82" s="117" t="s">
        <v>912</v>
      </c>
      <c r="M82" s="118"/>
      <c r="N82" s="118"/>
      <c r="O82" s="119"/>
      <c r="P82" s="3"/>
      <c r="Q82" s="3"/>
      <c r="R82" s="3"/>
      <c r="S82" s="3"/>
      <c r="T82" s="3"/>
      <c r="U82" s="3"/>
      <c r="V82" s="3"/>
    </row>
    <row r="83" spans="1:22">
      <c r="A83" s="3"/>
      <c r="B83" s="560"/>
      <c r="C83" s="560"/>
      <c r="D83" s="278"/>
      <c r="E83" s="278"/>
      <c r="F83" s="278"/>
      <c r="G83" s="278"/>
      <c r="H83" s="278"/>
      <c r="I83" s="278"/>
      <c r="J83" s="278"/>
      <c r="K83" s="3"/>
      <c r="L83" s="3"/>
      <c r="M83" s="3"/>
      <c r="N83" s="3"/>
      <c r="O83" s="3"/>
      <c r="P83" s="3"/>
      <c r="Q83" s="3"/>
      <c r="R83" s="3"/>
      <c r="S83" s="3"/>
      <c r="T83" s="3"/>
      <c r="U83" s="3"/>
      <c r="V83" s="3"/>
    </row>
    <row r="84" spans="1:22">
      <c r="A84" s="3"/>
      <c r="B84" s="560"/>
      <c r="C84" s="560"/>
      <c r="D84" s="278"/>
      <c r="E84" s="278"/>
      <c r="F84" s="278"/>
      <c r="G84" s="278"/>
      <c r="H84" s="278"/>
      <c r="I84" s="278" t="s">
        <v>715</v>
      </c>
      <c r="J84" s="278"/>
      <c r="K84" s="3"/>
      <c r="L84" s="3"/>
      <c r="M84" s="3"/>
      <c r="N84" s="3"/>
      <c r="O84" s="3"/>
      <c r="P84" s="3"/>
      <c r="Q84" s="3"/>
      <c r="R84" s="3"/>
      <c r="S84" s="3"/>
      <c r="T84" s="3"/>
      <c r="U84" s="3"/>
      <c r="V84" s="3"/>
    </row>
    <row r="85" spans="1:22" ht="13">
      <c r="A85" s="3"/>
      <c r="B85" s="559" t="s">
        <v>911</v>
      </c>
      <c r="C85" s="560"/>
      <c r="D85" s="278">
        <v>3</v>
      </c>
      <c r="E85" s="278"/>
      <c r="F85" s="278">
        <v>3</v>
      </c>
      <c r="G85" s="278"/>
      <c r="H85" s="278">
        <v>0</v>
      </c>
      <c r="I85" s="278"/>
      <c r="J85" s="880">
        <v>0</v>
      </c>
      <c r="K85" s="3"/>
      <c r="L85" s="3"/>
      <c r="M85" s="3"/>
      <c r="N85" s="3"/>
      <c r="O85" s="3"/>
      <c r="P85" s="3"/>
      <c r="Q85" s="3"/>
      <c r="R85" s="3"/>
      <c r="S85" s="3"/>
      <c r="T85" s="3"/>
      <c r="U85" s="3"/>
      <c r="V85" s="3"/>
    </row>
    <row r="86" spans="1:22">
      <c r="A86" s="3"/>
      <c r="B86" s="560"/>
      <c r="C86" s="560"/>
      <c r="D86" s="278">
        <v>3</v>
      </c>
      <c r="E86" s="278"/>
      <c r="F86" s="278">
        <v>3</v>
      </c>
      <c r="G86" s="278"/>
      <c r="H86" s="278">
        <v>45</v>
      </c>
      <c r="I86" s="278"/>
      <c r="J86" s="880">
        <v>-0.25</v>
      </c>
      <c r="K86" s="3"/>
      <c r="L86" s="122" t="s">
        <v>919</v>
      </c>
      <c r="M86" s="123"/>
      <c r="N86" s="123"/>
      <c r="O86" s="124"/>
      <c r="P86" s="3"/>
      <c r="Q86" s="3"/>
      <c r="R86" s="3"/>
      <c r="S86" s="3"/>
      <c r="T86" s="3"/>
      <c r="U86" s="3"/>
      <c r="V86" s="3"/>
    </row>
    <row r="87" spans="1:22">
      <c r="A87" s="3"/>
      <c r="B87" s="560"/>
      <c r="C87" s="560"/>
      <c r="D87" s="278">
        <v>3</v>
      </c>
      <c r="E87" s="278"/>
      <c r="F87" s="278">
        <v>3</v>
      </c>
      <c r="G87" s="278"/>
      <c r="H87" s="278">
        <v>90</v>
      </c>
      <c r="I87" s="278"/>
      <c r="J87" s="880">
        <v>-0.51</v>
      </c>
      <c r="K87" s="3"/>
      <c r="L87" s="3"/>
      <c r="M87" s="3"/>
      <c r="N87" s="3"/>
      <c r="O87" s="3"/>
      <c r="P87" s="3"/>
      <c r="Q87" s="3"/>
      <c r="R87" s="3"/>
      <c r="S87" s="3"/>
      <c r="T87" s="3"/>
      <c r="U87" s="3"/>
      <c r="V87" s="3"/>
    </row>
    <row r="88" spans="1:22">
      <c r="A88" s="3"/>
      <c r="B88" s="560"/>
      <c r="C88" s="560"/>
      <c r="D88" s="562"/>
      <c r="E88" s="562"/>
      <c r="F88" s="562"/>
      <c r="G88" s="562"/>
      <c r="H88" s="562"/>
      <c r="I88" s="562"/>
      <c r="J88" s="562"/>
      <c r="K88" s="3"/>
      <c r="L88" s="3"/>
      <c r="M88" s="3"/>
      <c r="N88" s="3"/>
      <c r="O88" s="3"/>
      <c r="P88" s="3"/>
      <c r="Q88" s="3"/>
      <c r="R88" s="3"/>
      <c r="S88" s="3"/>
      <c r="T88" s="3"/>
      <c r="U88" s="3"/>
      <c r="V88" s="3"/>
    </row>
    <row r="89" spans="1:22">
      <c r="A89" s="3"/>
      <c r="B89" s="560"/>
      <c r="C89" s="560"/>
      <c r="D89" s="562"/>
      <c r="E89" s="562"/>
      <c r="F89" s="562"/>
      <c r="G89" s="562"/>
      <c r="H89" s="562"/>
      <c r="I89" s="562"/>
      <c r="J89" s="562"/>
      <c r="K89" s="3"/>
      <c r="L89" s="3"/>
      <c r="M89" s="3"/>
      <c r="N89" s="3"/>
      <c r="O89" s="3"/>
      <c r="P89" s="3"/>
      <c r="Q89" s="3"/>
      <c r="R89" s="3"/>
      <c r="S89" s="3"/>
      <c r="T89" s="3"/>
      <c r="U89" s="3"/>
      <c r="V89" s="3"/>
    </row>
    <row r="90" spans="1:22">
      <c r="A90" s="3"/>
      <c r="B90" s="560" t="s">
        <v>914</v>
      </c>
      <c r="C90" s="560"/>
      <c r="D90" s="278">
        <v>30</v>
      </c>
      <c r="E90" s="278"/>
      <c r="F90" s="278">
        <v>30</v>
      </c>
      <c r="G90" s="278"/>
      <c r="H90" s="278">
        <v>0</v>
      </c>
      <c r="I90" s="278"/>
      <c r="J90" s="880">
        <v>0</v>
      </c>
      <c r="K90" s="3"/>
      <c r="L90" s="3"/>
      <c r="M90" s="3"/>
      <c r="N90" s="3"/>
      <c r="O90" s="3"/>
      <c r="P90" s="3"/>
      <c r="Q90" s="3"/>
      <c r="R90" s="3"/>
      <c r="S90" s="3"/>
      <c r="T90" s="3"/>
      <c r="U90" s="3"/>
      <c r="V90" s="3"/>
    </row>
    <row r="91" spans="1:22">
      <c r="A91" s="3"/>
      <c r="B91" s="560"/>
      <c r="C91" s="560"/>
      <c r="D91" s="278">
        <v>30</v>
      </c>
      <c r="E91" s="278"/>
      <c r="F91" s="278">
        <v>30</v>
      </c>
      <c r="G91" s="278"/>
      <c r="H91" s="278">
        <v>30</v>
      </c>
      <c r="I91" s="278"/>
      <c r="J91" s="880">
        <v>-1.24</v>
      </c>
      <c r="K91" s="3"/>
      <c r="L91" s="3"/>
      <c r="M91" s="3"/>
      <c r="N91" s="3"/>
      <c r="O91" s="3"/>
      <c r="P91" s="3"/>
      <c r="Q91" s="3"/>
      <c r="R91" s="3"/>
      <c r="S91" s="3"/>
      <c r="T91" s="3"/>
      <c r="U91" s="3"/>
      <c r="V91" s="3"/>
    </row>
    <row r="92" spans="1:22">
      <c r="A92" s="3"/>
      <c r="B92" s="560"/>
      <c r="C92" s="560"/>
      <c r="D92" s="278">
        <v>30</v>
      </c>
      <c r="E92" s="278"/>
      <c r="F92" s="278">
        <v>30</v>
      </c>
      <c r="G92" s="278"/>
      <c r="H92" s="278">
        <v>45</v>
      </c>
      <c r="I92" s="278"/>
      <c r="J92" s="880">
        <v>-2.99</v>
      </c>
      <c r="K92" s="3"/>
      <c r="L92" s="3"/>
      <c r="M92" s="3"/>
      <c r="N92" s="3"/>
      <c r="O92" s="3"/>
      <c r="P92" s="3"/>
      <c r="Q92" s="3"/>
      <c r="R92" s="3"/>
      <c r="S92" s="3"/>
      <c r="T92" s="3"/>
      <c r="U92" s="3"/>
      <c r="V92" s="3"/>
    </row>
    <row r="93" spans="1:22">
      <c r="A93" s="3"/>
      <c r="B93" s="560"/>
      <c r="C93" s="560"/>
      <c r="D93" s="278">
        <v>30</v>
      </c>
      <c r="E93" s="278"/>
      <c r="F93" s="278">
        <v>30</v>
      </c>
      <c r="G93" s="278"/>
      <c r="H93" s="278">
        <v>60</v>
      </c>
      <c r="I93" s="278"/>
      <c r="J93" s="880">
        <v>-5.97</v>
      </c>
      <c r="K93" s="3"/>
      <c r="L93" s="3"/>
      <c r="M93" s="3"/>
      <c r="N93" s="3"/>
      <c r="O93" s="3"/>
      <c r="P93" s="3"/>
      <c r="Q93" s="3"/>
      <c r="R93" s="3"/>
      <c r="S93" s="3"/>
      <c r="T93" s="3"/>
      <c r="U93" s="3"/>
      <c r="V93" s="3"/>
    </row>
    <row r="94" spans="1:22">
      <c r="A94" s="3"/>
      <c r="B94" s="560"/>
      <c r="C94" s="560"/>
      <c r="D94" s="278">
        <v>30</v>
      </c>
      <c r="E94" s="278"/>
      <c r="F94" s="278">
        <v>30</v>
      </c>
      <c r="G94" s="278"/>
      <c r="H94" s="278">
        <v>90</v>
      </c>
      <c r="I94" s="278"/>
      <c r="J94" s="880">
        <v>-23.99</v>
      </c>
      <c r="K94" s="3"/>
      <c r="L94" s="3"/>
      <c r="M94" s="3"/>
      <c r="N94" s="3"/>
      <c r="O94" s="3"/>
      <c r="P94" s="3"/>
      <c r="Q94" s="3"/>
      <c r="R94" s="3"/>
      <c r="S94" s="3"/>
      <c r="T94" s="3"/>
      <c r="U94" s="3"/>
      <c r="V94" s="3"/>
    </row>
    <row r="95" spans="1:22">
      <c r="A95" s="3"/>
      <c r="B95" s="560"/>
      <c r="C95" s="560"/>
      <c r="D95" s="278"/>
      <c r="E95" s="278"/>
      <c r="F95" s="278"/>
      <c r="G95" s="278"/>
      <c r="H95" s="278"/>
      <c r="I95" s="278"/>
      <c r="J95" s="278"/>
      <c r="K95" s="3"/>
      <c r="L95" s="3"/>
      <c r="M95" s="3"/>
      <c r="N95" s="3"/>
      <c r="O95" s="3"/>
      <c r="P95" s="3"/>
      <c r="Q95" s="3"/>
      <c r="R95" s="3"/>
      <c r="S95" s="3"/>
      <c r="T95" s="3"/>
      <c r="U95" s="3"/>
      <c r="V95" s="3"/>
    </row>
    <row r="96" spans="1:22" ht="13">
      <c r="A96" s="3"/>
      <c r="B96" s="559" t="s">
        <v>917</v>
      </c>
      <c r="C96" s="559"/>
      <c r="D96" s="278">
        <v>2</v>
      </c>
      <c r="E96" s="278"/>
      <c r="F96" s="278">
        <v>30</v>
      </c>
      <c r="G96" s="278"/>
      <c r="H96" s="278">
        <v>0</v>
      </c>
      <c r="I96" s="278"/>
      <c r="J96" s="880">
        <v>-1.91</v>
      </c>
      <c r="K96" s="3"/>
      <c r="L96" s="3" t="s">
        <v>715</v>
      </c>
      <c r="M96" s="3"/>
      <c r="N96" s="3"/>
      <c r="O96" s="3"/>
      <c r="P96" s="3"/>
      <c r="Q96" s="3"/>
      <c r="R96" s="3"/>
      <c r="S96" s="3"/>
      <c r="T96" s="3"/>
      <c r="U96" s="3"/>
      <c r="V96" s="3"/>
    </row>
    <row r="97" spans="1:22" ht="13">
      <c r="A97" s="3"/>
      <c r="B97" s="559" t="s">
        <v>918</v>
      </c>
      <c r="C97" s="559"/>
      <c r="D97" s="278">
        <v>2</v>
      </c>
      <c r="E97" s="278"/>
      <c r="F97" s="278">
        <v>30</v>
      </c>
      <c r="G97" s="278"/>
      <c r="H97" s="278">
        <v>45</v>
      </c>
      <c r="I97" s="278"/>
      <c r="J97" s="880">
        <v>-2.75</v>
      </c>
      <c r="K97" s="3"/>
      <c r="L97" s="122" t="s">
        <v>124</v>
      </c>
      <c r="M97" s="123"/>
      <c r="N97" s="123"/>
      <c r="O97" s="123"/>
      <c r="P97" s="124"/>
      <c r="Q97" s="3"/>
      <c r="R97" s="3"/>
      <c r="S97" s="3"/>
      <c r="T97" s="3"/>
      <c r="U97" s="3"/>
      <c r="V97" s="3"/>
    </row>
    <row r="98" spans="1:22" ht="13">
      <c r="A98" s="3"/>
      <c r="B98" s="559"/>
      <c r="C98" s="559"/>
      <c r="D98" s="278">
        <v>2</v>
      </c>
      <c r="E98" s="278"/>
      <c r="F98" s="278">
        <v>30</v>
      </c>
      <c r="G98" s="278"/>
      <c r="H98" s="278">
        <v>90</v>
      </c>
      <c r="I98" s="278"/>
      <c r="J98" s="880">
        <v>-3.79</v>
      </c>
      <c r="K98" s="3"/>
      <c r="L98" s="3"/>
      <c r="M98" s="3"/>
      <c r="N98" s="3"/>
      <c r="O98" s="3"/>
      <c r="P98" s="3"/>
      <c r="Q98" s="3"/>
      <c r="R98" s="3"/>
      <c r="S98" s="3"/>
      <c r="T98" s="3"/>
      <c r="U98" s="3"/>
      <c r="V98" s="3"/>
    </row>
    <row r="99" spans="1:22">
      <c r="A99" s="3"/>
      <c r="B99" s="91"/>
      <c r="C99" s="91"/>
      <c r="D99" s="425"/>
      <c r="E99" s="425"/>
      <c r="F99" s="425"/>
      <c r="G99" s="425"/>
      <c r="H99" s="425"/>
      <c r="I99" s="425"/>
      <c r="J99" s="425"/>
      <c r="K99" s="3"/>
      <c r="L99" s="3"/>
      <c r="M99" s="3"/>
      <c r="N99" s="3"/>
      <c r="O99" s="3"/>
      <c r="P99" s="3"/>
      <c r="Q99" s="3"/>
      <c r="R99" s="3"/>
      <c r="S99" s="3"/>
      <c r="T99" s="3"/>
      <c r="U99" s="3"/>
      <c r="V99" s="3"/>
    </row>
    <row r="100" spans="1:22">
      <c r="A100" s="3"/>
      <c r="B100" s="3"/>
      <c r="C100" s="3"/>
      <c r="D100" s="79"/>
      <c r="E100" s="79"/>
      <c r="F100" s="79"/>
      <c r="G100" s="79"/>
      <c r="H100" s="79"/>
      <c r="I100" s="79"/>
      <c r="J100" s="79"/>
      <c r="K100" s="3"/>
      <c r="L100" s="3"/>
      <c r="M100" s="3"/>
      <c r="N100" s="3"/>
      <c r="O100" s="3"/>
      <c r="P100" s="3"/>
      <c r="Q100" s="3"/>
      <c r="R100" s="3"/>
      <c r="S100" s="3"/>
      <c r="T100" s="3"/>
      <c r="U100" s="3"/>
      <c r="V100" s="3"/>
    </row>
    <row r="101" spans="1:22" ht="13">
      <c r="A101" s="3"/>
      <c r="B101" s="231"/>
      <c r="C101" s="3"/>
      <c r="D101" s="79"/>
      <c r="E101" s="79"/>
      <c r="F101" s="79"/>
      <c r="G101" s="79"/>
      <c r="H101" s="79"/>
      <c r="I101" s="79"/>
      <c r="J101" s="79"/>
      <c r="K101" s="3"/>
      <c r="L101" s="3"/>
      <c r="M101" s="3"/>
      <c r="N101" s="3"/>
      <c r="O101" s="3"/>
      <c r="P101" s="3"/>
      <c r="Q101" s="3"/>
      <c r="R101" s="3"/>
      <c r="S101" s="3"/>
      <c r="T101" s="3"/>
      <c r="U101" s="3"/>
      <c r="V101" s="3"/>
    </row>
    <row r="102" spans="1:22" ht="13">
      <c r="A102" s="3"/>
      <c r="B102" s="231"/>
      <c r="C102" s="3"/>
      <c r="D102" s="79"/>
      <c r="E102" s="79"/>
      <c r="F102" s="79"/>
      <c r="G102" s="79"/>
      <c r="H102" s="79"/>
      <c r="I102" s="79"/>
      <c r="J102" s="79"/>
      <c r="K102" s="3"/>
      <c r="L102" s="3"/>
      <c r="M102" s="3"/>
      <c r="N102" s="3"/>
      <c r="O102" s="3"/>
      <c r="P102" s="3"/>
      <c r="Q102" s="3"/>
      <c r="R102" s="3"/>
      <c r="S102" s="3"/>
      <c r="T102" s="3"/>
      <c r="U102" s="3"/>
      <c r="V102" s="3"/>
    </row>
    <row r="103" spans="1:22">
      <c r="A103" s="3"/>
      <c r="B103" s="3"/>
      <c r="C103" s="3"/>
      <c r="D103" s="79"/>
      <c r="E103" s="79"/>
      <c r="F103" s="79"/>
      <c r="G103" s="79"/>
      <c r="H103" s="79"/>
      <c r="I103" s="79"/>
      <c r="J103" s="79"/>
      <c r="K103" s="3"/>
      <c r="L103" s="3"/>
      <c r="M103" s="3"/>
      <c r="N103" s="3"/>
      <c r="O103" s="3"/>
      <c r="P103" s="3"/>
      <c r="Q103" s="3"/>
      <c r="R103" s="3"/>
      <c r="S103" s="3"/>
      <c r="T103" s="3"/>
      <c r="U103" s="3"/>
      <c r="V103" s="3"/>
    </row>
    <row r="104" spans="1:22">
      <c r="A104" s="3"/>
      <c r="B104" s="3"/>
      <c r="C104" s="3"/>
      <c r="D104" s="79"/>
      <c r="E104" s="79"/>
      <c r="F104" s="79"/>
      <c r="G104" s="79"/>
      <c r="H104" s="79"/>
      <c r="I104" s="79"/>
      <c r="J104" s="79"/>
      <c r="K104" s="3"/>
      <c r="L104" s="3"/>
      <c r="M104" s="3"/>
      <c r="N104" s="3"/>
      <c r="O104" s="3"/>
      <c r="P104" s="3"/>
      <c r="Q104" s="3"/>
      <c r="R104" s="3"/>
      <c r="S104" s="3"/>
      <c r="T104" s="3"/>
      <c r="U104" s="3"/>
      <c r="V104" s="3"/>
    </row>
    <row r="105" spans="1:22">
      <c r="A105" s="3"/>
      <c r="B105" s="3"/>
      <c r="C105" s="3"/>
      <c r="D105" s="79"/>
      <c r="E105" s="79"/>
      <c r="F105" s="79"/>
      <c r="G105" s="79"/>
      <c r="H105" s="79"/>
      <c r="I105" s="79"/>
      <c r="J105" s="79"/>
      <c r="K105" s="3"/>
      <c r="L105" s="3"/>
      <c r="M105" s="3"/>
      <c r="N105" s="3"/>
      <c r="O105" s="3"/>
      <c r="P105" s="3"/>
      <c r="Q105" s="3"/>
      <c r="R105" s="3"/>
      <c r="S105" s="3"/>
      <c r="T105" s="3"/>
      <c r="U105" s="3"/>
      <c r="V105" s="3"/>
    </row>
    <row r="106" spans="1:22">
      <c r="A106" s="3"/>
      <c r="B106" s="3"/>
      <c r="C106" s="3"/>
      <c r="D106" s="79"/>
      <c r="E106" s="79"/>
      <c r="F106" s="79"/>
      <c r="G106" s="79"/>
      <c r="H106" s="79"/>
      <c r="I106" s="79"/>
      <c r="J106" s="79"/>
      <c r="K106" s="3"/>
      <c r="L106" s="3"/>
      <c r="M106" s="3"/>
      <c r="N106" s="3"/>
      <c r="O106" s="3"/>
      <c r="P106" s="3"/>
      <c r="Q106" s="3"/>
      <c r="R106" s="3"/>
      <c r="S106" s="3"/>
      <c r="T106" s="3"/>
      <c r="U106" s="3"/>
      <c r="V106" s="3"/>
    </row>
    <row r="107" spans="1:22">
      <c r="A107" s="3"/>
      <c r="B107" s="3"/>
      <c r="C107" s="3"/>
      <c r="D107" s="79"/>
      <c r="E107" s="79"/>
      <c r="F107" s="79"/>
      <c r="G107" s="79"/>
      <c r="H107" s="79"/>
      <c r="I107" s="79"/>
      <c r="J107" s="79"/>
      <c r="K107" s="3"/>
      <c r="L107" s="3"/>
      <c r="M107" s="3"/>
      <c r="N107" s="3"/>
      <c r="O107" s="3"/>
      <c r="P107" s="3"/>
      <c r="Q107" s="3"/>
      <c r="R107" s="3"/>
      <c r="S107" s="3"/>
      <c r="T107" s="3"/>
      <c r="U107" s="3"/>
      <c r="V107" s="3"/>
    </row>
    <row r="108" spans="1:22">
      <c r="A108" s="3"/>
      <c r="B108" s="3"/>
      <c r="C108" s="3"/>
      <c r="D108" s="79"/>
      <c r="E108" s="79"/>
      <c r="F108" s="79"/>
      <c r="G108" s="79"/>
      <c r="H108" s="79"/>
      <c r="I108" s="79"/>
      <c r="J108" s="79"/>
      <c r="K108" s="3"/>
      <c r="L108" s="3"/>
      <c r="M108" s="3"/>
      <c r="N108" s="3"/>
      <c r="O108" s="3"/>
      <c r="P108" s="3"/>
      <c r="Q108" s="3"/>
      <c r="R108" s="3"/>
      <c r="S108" s="3"/>
      <c r="T108" s="3"/>
      <c r="U108" s="3"/>
      <c r="V108" s="3"/>
    </row>
    <row r="109" spans="1:22">
      <c r="A109" s="3"/>
      <c r="B109" s="3"/>
      <c r="C109" s="3"/>
      <c r="D109" s="79"/>
      <c r="E109" s="79"/>
      <c r="F109" s="79"/>
      <c r="G109" s="79"/>
      <c r="H109" s="79"/>
      <c r="I109" s="79"/>
      <c r="J109" s="79"/>
      <c r="K109" s="3"/>
      <c r="L109" s="3"/>
      <c r="M109" s="3"/>
      <c r="N109" s="3"/>
      <c r="O109" s="3"/>
      <c r="P109" s="3"/>
      <c r="Q109" s="3"/>
      <c r="R109" s="3"/>
      <c r="S109" s="3"/>
      <c r="T109" s="3"/>
      <c r="U109" s="3"/>
      <c r="V109" s="3"/>
    </row>
    <row r="110" spans="1:22">
      <c r="A110" s="3"/>
      <c r="B110" s="3"/>
      <c r="C110" s="3"/>
      <c r="D110" s="79"/>
      <c r="E110" s="79"/>
      <c r="F110" s="79"/>
      <c r="G110" s="79"/>
      <c r="H110" s="79"/>
      <c r="I110" s="79"/>
      <c r="J110" s="79"/>
      <c r="K110" s="3"/>
      <c r="L110" s="3"/>
      <c r="M110" s="3"/>
      <c r="N110" s="3"/>
      <c r="O110" s="3"/>
      <c r="P110" s="3"/>
      <c r="Q110" s="3"/>
      <c r="R110" s="3"/>
      <c r="S110" s="3"/>
      <c r="T110" s="3"/>
      <c r="U110" s="3"/>
      <c r="V110" s="3"/>
    </row>
    <row r="111" spans="1:22">
      <c r="A111" s="3"/>
      <c r="B111" s="3"/>
      <c r="C111" s="3"/>
      <c r="D111" s="79"/>
      <c r="E111" s="79"/>
      <c r="F111" s="79"/>
      <c r="G111" s="79"/>
      <c r="H111" s="79"/>
      <c r="I111" s="79"/>
      <c r="J111" s="79"/>
      <c r="K111" s="3"/>
      <c r="L111" s="3"/>
      <c r="M111" s="3"/>
      <c r="N111" s="3"/>
      <c r="O111" s="3"/>
      <c r="P111" s="3"/>
      <c r="Q111" s="3"/>
      <c r="R111" s="3"/>
      <c r="S111" s="3"/>
      <c r="T111" s="3"/>
      <c r="U111" s="3"/>
      <c r="V111" s="3"/>
    </row>
    <row r="112" spans="1:22">
      <c r="A112" s="3"/>
      <c r="B112" s="3"/>
      <c r="C112" s="3"/>
      <c r="D112" s="79"/>
      <c r="E112" s="79"/>
      <c r="F112" s="79"/>
      <c r="G112" s="79"/>
      <c r="H112" s="79"/>
      <c r="I112" s="79"/>
      <c r="J112" s="79"/>
      <c r="K112" s="3"/>
      <c r="L112" s="3"/>
      <c r="M112" s="3"/>
      <c r="N112" s="3"/>
      <c r="O112" s="3"/>
      <c r="P112" s="3"/>
      <c r="Q112" s="3"/>
      <c r="R112" s="3"/>
      <c r="S112" s="3"/>
      <c r="T112" s="3"/>
      <c r="U112" s="3"/>
      <c r="V112" s="3"/>
    </row>
    <row r="113" spans="1:22">
      <c r="A113" s="3"/>
      <c r="B113" s="3"/>
      <c r="C113" s="3"/>
      <c r="D113" s="79"/>
      <c r="E113" s="79"/>
      <c r="F113" s="79"/>
      <c r="G113" s="79"/>
      <c r="H113" s="79"/>
      <c r="I113" s="79"/>
      <c r="J113" s="79"/>
      <c r="K113" s="3"/>
      <c r="L113" s="3"/>
      <c r="M113" s="3"/>
      <c r="N113" s="3"/>
      <c r="O113" s="3"/>
      <c r="P113" s="3"/>
      <c r="Q113" s="3"/>
      <c r="R113" s="3"/>
      <c r="S113" s="3"/>
      <c r="T113" s="3"/>
      <c r="U113" s="3"/>
      <c r="V113" s="3"/>
    </row>
    <row r="114" spans="1:22">
      <c r="A114" s="3"/>
      <c r="B114" s="3"/>
      <c r="C114" s="3"/>
      <c r="D114" s="79"/>
      <c r="E114" s="79"/>
      <c r="F114" s="79"/>
      <c r="G114" s="79"/>
      <c r="H114" s="79"/>
      <c r="I114" s="79"/>
      <c r="J114" s="79"/>
      <c r="K114" s="3"/>
      <c r="L114" s="3"/>
      <c r="M114" s="3"/>
      <c r="N114" s="3"/>
      <c r="O114" s="3"/>
      <c r="P114" s="3"/>
      <c r="Q114" s="3"/>
      <c r="R114" s="3"/>
      <c r="S114" s="3"/>
      <c r="T114" s="3"/>
      <c r="U114" s="3"/>
      <c r="V114" s="3"/>
    </row>
    <row r="115" spans="1:22">
      <c r="D115" s="18"/>
      <c r="E115" s="18"/>
      <c r="F115" s="18"/>
      <c r="G115" s="18"/>
      <c r="H115" s="18"/>
      <c r="I115" s="18"/>
      <c r="J115" s="18"/>
    </row>
  </sheetData>
  <phoneticPr fontId="26" type="noConversion"/>
  <pageMargins left="0.75" right="0.75" top="1" bottom="1" header="0.5" footer="0.5"/>
  <pageSetup paperSize="9" orientation="portrait" horizontalDpi="4294967293" verticalDpi="0"/>
  <headerFooter alignWithMargins="0"/>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21</vt:i4>
      </vt:variant>
      <vt:variant>
        <vt:lpstr>Named Ranges</vt:lpstr>
      </vt:variant>
      <vt:variant>
        <vt:i4>3</vt:i4>
      </vt:variant>
    </vt:vector>
  </HeadingPairs>
  <TitlesOfParts>
    <vt:vector size="24" baseType="lpstr">
      <vt:lpstr>Title Page</vt:lpstr>
      <vt:lpstr>I.I.R.R.</vt:lpstr>
      <vt:lpstr>Orbit</vt:lpstr>
      <vt:lpstr>Frequency</vt:lpstr>
      <vt:lpstr>Transmitters</vt:lpstr>
      <vt:lpstr>Receivers</vt:lpstr>
      <vt:lpstr>Antenna Gain</vt:lpstr>
      <vt:lpstr>Antenna Pointing Losses</vt:lpstr>
      <vt:lpstr>Antenna Polarization Loss</vt:lpstr>
      <vt:lpstr>Atmos. &amp; Ionos. Losses</vt:lpstr>
      <vt:lpstr>Modulation-Demodulation Method</vt:lpstr>
      <vt:lpstr>Uplink Budget</vt:lpstr>
      <vt:lpstr>Downlink Budget</vt:lpstr>
      <vt:lpstr>System Peformance Summary</vt:lpstr>
      <vt:lpstr>Antenna Patterns</vt:lpstr>
      <vt:lpstr>Beam Roll-Off Tool</vt:lpstr>
      <vt:lpstr>Beam Roll-Off Plot</vt:lpstr>
      <vt:lpstr>Line Loss Tools &amp; Tables</vt:lpstr>
      <vt:lpstr>VSWR Loss Tool</vt:lpstr>
      <vt:lpstr>GEO Azimuth Calc Data</vt:lpstr>
      <vt:lpstr>Orbit Shape Data</vt:lpstr>
      <vt:lpstr>r_1</vt:lpstr>
      <vt:lpstr>r_2</vt:lpstr>
      <vt:lpstr>theta</vt:lpstr>
    </vt:vector>
  </TitlesOfParts>
  <Company>BlastOff!</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jking</dc:creator>
  <cp:lastModifiedBy>Vigely Mastro</cp:lastModifiedBy>
  <cp:lastPrinted>2019-05-10T18:48:42Z</cp:lastPrinted>
  <dcterms:created xsi:type="dcterms:W3CDTF">2003-03-25T04:05:57Z</dcterms:created>
  <dcterms:modified xsi:type="dcterms:W3CDTF">2019-06-21T18:24:00Z</dcterms:modified>
</cp:coreProperties>
</file>