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0" yWindow="105" windowWidth="15480" windowHeight="8220"/>
  </bookViews>
  <sheets>
    <sheet name="Demand Plan" sheetId="2" r:id="rId1"/>
    <sheet name="Cognos_Office_Connection_Cache" sheetId="11" state="veryHidden" r:id="rId2"/>
    <sheet name="Operations Console" sheetId="1" r:id="rId3"/>
    <sheet name="Bill of Material Master" sheetId="4" r:id="rId4"/>
    <sheet name="Report" sheetId="10" r:id="rId5"/>
    <sheet name="Performance Scorecard" sheetId="3" r:id="rId6"/>
    <sheet name="{AR}01" sheetId="5" state="hidden" r:id="rId7"/>
    <sheet name="{AR}11" sheetId="9" state="hidden" r:id="rId8"/>
  </sheets>
  <externalReferences>
    <externalReference r:id="rId9"/>
  </externalReferences>
  <definedNames>
    <definedName name="CurrentVersion">'Operations Console'!$J$8</definedName>
    <definedName name="ID" localSheetId="6" hidden="1">"56cc1350-f172-4fcb-bec6-c7f216d72641"</definedName>
    <definedName name="ID" localSheetId="7" hidden="1">"28703f07-257c-411d-8450-25b530a09a4b"</definedName>
    <definedName name="ID" localSheetId="3" hidden="1">"bae0f8bb-d060-42f0-9a00-825f1a820d5d"</definedName>
    <definedName name="ID" localSheetId="1" hidden="1">"919cef87-b9ab-43c7-a18f-3cd12383dc04"</definedName>
    <definedName name="ID" localSheetId="0" hidden="1">"aabee1ed-453c-465f-8e30-3eb0fb244a3d"</definedName>
    <definedName name="ID" localSheetId="2" hidden="1">"225addd9-e75d-4142-bdca-5c3efebc2657"</definedName>
    <definedName name="ID" localSheetId="5" hidden="1">"b019e751-4b58-4150-a7bc-eb3661fd2a5d"</definedName>
    <definedName name="ID" localSheetId="4" hidden="1">"f562cd8f-e15f-424e-b455-f92746e8f853"</definedName>
    <definedName name="SelectYesNo">[1]Lookup!$D$2:$D$3</definedName>
    <definedName name="TM1REBUILDOPTION">1</definedName>
    <definedName name="TM1RPTDATARNG1" localSheetId="2">'Operations Console'!#REF!</definedName>
    <definedName name="TM1RPTDATARNGARPT1" localSheetId="3">'Bill of Material Master'!#REF!</definedName>
    <definedName name="TM1RPTDATARNGARPT1" localSheetId="0">'Demand Plan'!$16:$27</definedName>
    <definedName name="TM1RPTDATARNGARPT2" localSheetId="3">'Bill of Material Master'!$18:$32</definedName>
    <definedName name="TM1RPTFMTIDCOL" localSheetId="3">'Bill of Material Master'!$A$1:$A$8</definedName>
    <definedName name="TM1RPTFMTIDCOL" localSheetId="0">'Demand Plan'!$A$1:$A$8</definedName>
    <definedName name="TM1RPTFMTIDCOL" localSheetId="2">'Operations Console'!#REF!</definedName>
    <definedName name="TM1RPTFMTRNG" localSheetId="3">'Bill of Material Master'!$C$1:$D$8</definedName>
    <definedName name="TM1RPTFMTRNG" localSheetId="0">'Demand Plan'!$C$1:$P$8</definedName>
    <definedName name="TM1RPTFMTRNG" localSheetId="2">'Operations Console'!#REF!</definedName>
  </definedNames>
  <calcPr calcId="152511" calcMode="manual" concurrentCalc="0"/>
</workbook>
</file>

<file path=xl/calcChain.xml><?xml version="1.0" encoding="utf-8"?>
<calcChain xmlns="http://schemas.openxmlformats.org/spreadsheetml/2006/main">
  <c r="A32" i="4" l="1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C9" i="4"/>
  <c r="D12" i="4"/>
  <c r="C16" i="4"/>
  <c r="D11" i="4"/>
  <c r="D10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A27" i="2"/>
  <c r="A26" i="2"/>
  <c r="A25" i="2"/>
  <c r="A24" i="2"/>
  <c r="A23" i="2"/>
  <c r="A22" i="2"/>
  <c r="A21" i="2"/>
  <c r="A20" i="2"/>
  <c r="A19" i="2"/>
  <c r="A18" i="2"/>
  <c r="A17" i="2"/>
  <c r="C9" i="2"/>
  <c r="C13" i="2"/>
  <c r="D13" i="2"/>
  <c r="F13" i="2"/>
  <c r="G13" i="2"/>
  <c r="E13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E17" i="1"/>
  <c r="A5" i="4"/>
  <c r="A4" i="4"/>
  <c r="A3" i="4"/>
  <c r="A2" i="4"/>
  <c r="A5" i="2"/>
  <c r="A4" i="2"/>
  <c r="A3" i="2"/>
  <c r="A2" i="2"/>
  <c r="J17" i="1"/>
  <c r="E20" i="1"/>
  <c r="D21" i="1"/>
  <c r="A6" i="3"/>
  <c r="C6" i="10"/>
  <c r="E8" i="1"/>
  <c r="H8" i="1"/>
  <c r="A11" i="3"/>
  <c r="E12" i="1"/>
  <c r="J8" i="1"/>
  <c r="D19" i="1"/>
  <c r="D28" i="1"/>
  <c r="A7" i="3"/>
  <c r="A2" i="10"/>
  <c r="E6" i="10"/>
  <c r="D6" i="10"/>
  <c r="A1" i="10"/>
  <c r="C16" i="2"/>
  <c r="A18" i="4"/>
  <c r="E11" i="1"/>
  <c r="E10" i="1"/>
  <c r="D27" i="1"/>
  <c r="A5" i="3"/>
  <c r="A3" i="3"/>
  <c r="H17" i="1"/>
  <c r="E25" i="1"/>
  <c r="E22" i="1"/>
  <c r="D26" i="1"/>
  <c r="B11" i="3"/>
  <c r="F11" i="3"/>
  <c r="J11" i="3"/>
  <c r="B12" i="3"/>
  <c r="F12" i="3"/>
  <c r="J12" i="3"/>
  <c r="B13" i="3"/>
  <c r="F13" i="3"/>
  <c r="J13" i="3"/>
  <c r="C10" i="3"/>
  <c r="G10" i="3"/>
  <c r="K10" i="3"/>
  <c r="F9" i="10"/>
  <c r="E10" i="10"/>
  <c r="I10" i="10"/>
  <c r="H11" i="10"/>
  <c r="G12" i="10"/>
  <c r="F13" i="10"/>
  <c r="F2" i="1"/>
  <c r="F1" i="1"/>
  <c r="O16" i="2"/>
  <c r="K16" i="2"/>
  <c r="G16" i="2"/>
  <c r="A16" i="2"/>
  <c r="G12" i="3"/>
  <c r="C13" i="3"/>
  <c r="K13" i="3"/>
  <c r="H10" i="3"/>
  <c r="L10" i="3"/>
  <c r="G9" i="10"/>
  <c r="E11" i="10"/>
  <c r="I11" i="10"/>
  <c r="G13" i="10"/>
  <c r="C18" i="4"/>
  <c r="J16" i="2"/>
  <c r="G10" i="10"/>
  <c r="E12" i="10"/>
  <c r="D18" i="4"/>
  <c r="M16" i="2"/>
  <c r="E16" i="2"/>
  <c r="E13" i="10"/>
  <c r="L8" i="1"/>
  <c r="N8" i="1"/>
  <c r="D16" i="2"/>
  <c r="P16" i="2"/>
  <c r="I16" i="2"/>
  <c r="F16" i="2"/>
  <c r="N16" i="2"/>
  <c r="F12" i="10"/>
  <c r="I12" i="10"/>
  <c r="H9" i="10"/>
  <c r="H12" i="10"/>
  <c r="F10" i="10"/>
  <c r="H16" i="2"/>
  <c r="M10" i="3"/>
  <c r="I10" i="3"/>
  <c r="E10" i="3"/>
  <c r="L13" i="3"/>
  <c r="H13" i="3"/>
  <c r="D13" i="3"/>
  <c r="L12" i="3"/>
  <c r="H12" i="3"/>
  <c r="D12" i="3"/>
  <c r="L11" i="3"/>
  <c r="H11" i="3"/>
  <c r="D11" i="3"/>
  <c r="D10" i="3"/>
  <c r="G13" i="3"/>
  <c r="K12" i="3"/>
  <c r="C12" i="3"/>
  <c r="K11" i="3"/>
  <c r="G11" i="3"/>
  <c r="C11" i="3"/>
  <c r="L16" i="2"/>
  <c r="B10" i="3"/>
  <c r="J10" i="3"/>
  <c r="F10" i="3"/>
  <c r="M13" i="3"/>
  <c r="I13" i="3"/>
  <c r="E13" i="3"/>
  <c r="M12" i="3"/>
  <c r="I12" i="3"/>
  <c r="E12" i="3"/>
  <c r="M11" i="3"/>
  <c r="I11" i="3"/>
  <c r="E11" i="3"/>
  <c r="I13" i="10"/>
  <c r="G11" i="10"/>
  <c r="H10" i="10"/>
  <c r="I9" i="10"/>
  <c r="E9" i="10"/>
  <c r="H13" i="10"/>
  <c r="F11" i="10"/>
  <c r="F17" i="1"/>
  <c r="F19" i="1"/>
  <c r="F21" i="1"/>
  <c r="F25" i="1"/>
  <c r="F22" i="1"/>
  <c r="F27" i="1"/>
  <c r="F23" i="1"/>
  <c r="F26" i="1"/>
  <c r="F24" i="1"/>
  <c r="F20" i="1"/>
  <c r="F28" i="1"/>
</calcChain>
</file>

<file path=xl/sharedStrings.xml><?xml version="1.0" encoding="utf-8"?>
<sst xmlns="http://schemas.openxmlformats.org/spreadsheetml/2006/main" count="146" uniqueCount="89">
  <si>
    <t>Plant</t>
  </si>
  <si>
    <t>Year</t>
  </si>
  <si>
    <t>Month</t>
  </si>
  <si>
    <t>D</t>
  </si>
  <si>
    <t>N</t>
  </si>
  <si>
    <t>[Begin Format Range]</t>
  </si>
  <si>
    <t>[End Format Range]</t>
  </si>
  <si>
    <t>Product</t>
  </si>
  <si>
    <t>Gross Revenue</t>
  </si>
  <si>
    <t>Gross Margin</t>
  </si>
  <si>
    <t>Gross Margin %</t>
  </si>
  <si>
    <t>Direct Material</t>
  </si>
  <si>
    <t>Direct Labor</t>
  </si>
  <si>
    <t>Smartco:Supply Chain</t>
  </si>
  <si>
    <t>Commodity Master</t>
  </si>
  <si>
    <t>Financial Valuation</t>
  </si>
  <si>
    <t>Channel</t>
  </si>
  <si>
    <t>Revenue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</si>
  <si>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</si>
  <si>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</si>
  <si>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</si>
  <si>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</si>
  <si>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</si>
  <si>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</si>
  <si>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</si>
  <si>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</si>
  <si>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</si>
  <si>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</si>
  <si>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</si>
  <si>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</si>
  <si>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</si>
  <si>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Phones</t>
  </si>
  <si>
    <t>3G Smart Phones</t>
  </si>
  <si>
    <t>4G Smart Phones</t>
  </si>
  <si>
    <t>Phone Only</t>
  </si>
  <si>
    <t>PCs</t>
  </si>
  <si>
    <t>Desktops</t>
  </si>
  <si>
    <t>Laptops</t>
  </si>
  <si>
    <t>Gaming</t>
  </si>
  <si>
    <t>Tablets</t>
  </si>
  <si>
    <t>10 Inch Tablets</t>
  </si>
  <si>
    <t>8 Inch Tablets</t>
  </si>
  <si>
    <t>Organization</t>
  </si>
  <si>
    <t>M</t>
  </si>
  <si>
    <t>Actual</t>
  </si>
  <si>
    <t>Forecast</t>
  </si>
  <si>
    <t>Commodity</t>
  </si>
  <si>
    <t>Rate</t>
  </si>
  <si>
    <t>Smartco:Rate BOM</t>
  </si>
  <si>
    <t>Phone Body Protector</t>
  </si>
  <si>
    <t>Phone Body</t>
  </si>
  <si>
    <t>Phone Screen</t>
  </si>
  <si>
    <t>Label</t>
  </si>
  <si>
    <t>A4 Silicon Chip</t>
  </si>
  <si>
    <t>Smartco - Armonk</t>
  </si>
  <si>
    <t>Total Local BOM</t>
  </si>
  <si>
    <t>Raw Material</t>
  </si>
  <si>
    <t>Circuit board</t>
  </si>
  <si>
    <t>Diodes</t>
  </si>
  <si>
    <t>Wire</t>
  </si>
  <si>
    <t>A5 Silicon Chip</t>
  </si>
  <si>
    <t>A6 Silicon Chip</t>
  </si>
  <si>
    <t>A7 Silicon Chip</t>
  </si>
  <si>
    <t>Packaging Material</t>
  </si>
  <si>
    <t>Keyboard</t>
  </si>
  <si>
    <t>Cardboard</t>
  </si>
  <si>
    <t>Tray</t>
  </si>
  <si>
    <t>Shrink wrap</t>
  </si>
  <si>
    <t>Direct labor</t>
  </si>
  <si>
    <t>Q1</t>
  </si>
  <si>
    <t>Q2</t>
  </si>
  <si>
    <t>Q3</t>
  </si>
  <si>
    <t>Q4</t>
  </si>
  <si>
    <t>4999 Gross Revenue</t>
  </si>
  <si>
    <t>5999 Cost of Sales</t>
  </si>
  <si>
    <t>Total Operating Expense</t>
  </si>
  <si>
    <t>Net Profit</t>
  </si>
  <si>
    <t>6699 ALLOCATIONS</t>
  </si>
  <si>
    <t>Net Profit After Allocations</t>
  </si>
  <si>
    <t>Cost of Goods Sold</t>
  </si>
  <si>
    <t>Total Operating Expenses</t>
  </si>
  <si>
    <t>Predictive</t>
  </si>
  <si>
    <t>local</t>
  </si>
  <si>
    <t>Units Sold</t>
  </si>
  <si>
    <t>Unit Price</t>
  </si>
  <si>
    <t>Unit Cost</t>
  </si>
  <si>
    <t>Cost of Sales</t>
  </si>
  <si>
    <t>X</t>
  </si>
  <si>
    <t>Indirect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</si>
</sst>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- &quot;@"/>
    <numFmt numFmtId="165" formatCode="&quot;+ &quot;@"/>
    <numFmt numFmtId="166" formatCode="#,##0.00;\(#,##0.00\)"/>
    <numFmt numFmtId="167" formatCode="_(* #,##0_);_(* \(#,##0\);_(* &quot;-&quot;??_);_(@_)"/>
    <numFmt numFmtId="168" formatCode="0.0%"/>
    <numFmt numFmtId="169" formatCode="_(* #,##0_);_(* \(#,##0\);_(* &quot; 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0" tint="-0.499984740745262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rgb="FF0296DF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7">
      <alignment horizontal="right" vertical="center"/>
    </xf>
    <xf numFmtId="0" fontId="1" fillId="3" borderId="7">
      <alignment horizontal="center" vertical="center"/>
    </xf>
    <xf numFmtId="0" fontId="16" fillId="0" borderId="7">
      <alignment horizontal="right" vertical="center"/>
    </xf>
    <xf numFmtId="0" fontId="1" fillId="3" borderId="7">
      <alignment horizontal="left" vertical="center"/>
    </xf>
    <xf numFmtId="0" fontId="1" fillId="3" borderId="7">
      <alignment horizontal="center" vertical="center"/>
    </xf>
    <xf numFmtId="0" fontId="17" fillId="3" borderId="7">
      <alignment horizontal="center" vertical="center"/>
    </xf>
    <xf numFmtId="0" fontId="16" fillId="4" borderId="7"/>
    <xf numFmtId="0" fontId="1" fillId="0" borderId="7">
      <alignment horizontal="left" vertical="top"/>
    </xf>
    <xf numFmtId="0" fontId="1" fillId="5" borderId="7"/>
    <xf numFmtId="0" fontId="1" fillId="0" borderId="7">
      <alignment horizontal="left" vertical="center"/>
    </xf>
    <xf numFmtId="0" fontId="16" fillId="6" borderId="7"/>
    <xf numFmtId="0" fontId="16" fillId="0" borderId="7">
      <alignment horizontal="right" vertical="center"/>
    </xf>
    <xf numFmtId="0" fontId="16" fillId="7" borderId="7">
      <alignment horizontal="right" vertical="center"/>
    </xf>
    <xf numFmtId="0" fontId="16" fillId="0" borderId="7">
      <alignment horizontal="center" vertical="center"/>
    </xf>
    <xf numFmtId="0" fontId="17" fillId="8" borderId="7"/>
    <xf numFmtId="0" fontId="17" fillId="9" borderId="7"/>
    <xf numFmtId="0" fontId="17" fillId="0" borderId="7">
      <alignment horizontal="center" vertical="center" wrapText="1"/>
    </xf>
    <xf numFmtId="0" fontId="18" fillId="3" borderId="7">
      <alignment horizontal="left" vertical="center" indent="1"/>
    </xf>
    <xf numFmtId="0" fontId="19" fillId="0" borderId="7"/>
    <xf numFmtId="0" fontId="1" fillId="3" borderId="7">
      <alignment horizontal="left" vertical="center"/>
    </xf>
    <xf numFmtId="0" fontId="17" fillId="3" borderId="7">
      <alignment horizontal="center" vertical="center"/>
    </xf>
    <xf numFmtId="0" fontId="2" fillId="8" borderId="7">
      <alignment horizontal="center" vertical="center"/>
    </xf>
    <xf numFmtId="0" fontId="2" fillId="9" borderId="7">
      <alignment horizontal="center" vertical="center"/>
    </xf>
    <xf numFmtId="0" fontId="2" fillId="8" borderId="7">
      <alignment horizontal="left" vertical="center"/>
    </xf>
    <xf numFmtId="0" fontId="2" fillId="9" borderId="7">
      <alignment horizontal="left" vertical="center"/>
    </xf>
    <xf numFmtId="0" fontId="20" fillId="0" borderId="7"/>
  </cellStyleXfs>
  <cellXfs count="96">
    <xf numFmtId="0" fontId="0" fillId="0" borderId="0" xfId="0"/>
    <xf numFmtId="0" fontId="2" fillId="0" borderId="0" xfId="0" applyFont="1"/>
    <xf numFmtId="0" fontId="0" fillId="0" borderId="0" xfId="0" applyFill="1"/>
    <xf numFmtId="0" fontId="6" fillId="0" borderId="0" xfId="0" applyFon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49" fontId="11" fillId="0" borderId="0" xfId="0" applyNumberFormat="1" applyFont="1"/>
    <xf numFmtId="3" fontId="11" fillId="0" borderId="0" xfId="0" applyNumberFormat="1" applyFont="1"/>
    <xf numFmtId="0" fontId="7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166" fontId="8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right" vertical="center" indent="2"/>
    </xf>
    <xf numFmtId="0" fontId="0" fillId="0" borderId="0" xfId="0" applyAlignment="1">
      <alignment vertical="center"/>
    </xf>
    <xf numFmtId="164" fontId="12" fillId="0" borderId="0" xfId="0" applyNumberFormat="1" applyFont="1" applyFill="1" applyBorder="1" applyAlignment="1">
      <alignment horizontal="left" vertical="center" indent="2"/>
    </xf>
    <xf numFmtId="0" fontId="10" fillId="0" borderId="0" xfId="0" applyFont="1" applyFill="1" applyBorder="1"/>
    <xf numFmtId="164" fontId="13" fillId="0" borderId="4" xfId="0" applyNumberFormat="1" applyFont="1" applyFill="1" applyBorder="1" applyAlignment="1">
      <alignment horizontal="left" vertical="center" indent="2"/>
    </xf>
    <xf numFmtId="49" fontId="14" fillId="0" borderId="0" xfId="0" applyNumberFormat="1" applyFont="1" applyFill="1" applyBorder="1"/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49" fontId="0" fillId="0" borderId="0" xfId="0" applyNumberFormat="1"/>
    <xf numFmtId="169" fontId="13" fillId="0" borderId="0" xfId="3" applyNumberFormat="1" applyFont="1" applyFill="1" applyBorder="1" applyAlignment="1">
      <alignment vertical="center"/>
    </xf>
    <xf numFmtId="0" fontId="21" fillId="0" borderId="0" xfId="0" applyFont="1"/>
    <xf numFmtId="164" fontId="13" fillId="0" borderId="0" xfId="0" applyNumberFormat="1" applyFont="1" applyFill="1" applyBorder="1" applyAlignment="1">
      <alignment horizontal="left" vertical="center" indent="2"/>
    </xf>
    <xf numFmtId="49" fontId="7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0" borderId="0" xfId="0" applyFont="1" applyFill="1" applyBorder="1"/>
    <xf numFmtId="164" fontId="7" fillId="0" borderId="0" xfId="0" applyNumberFormat="1" applyFont="1" applyFill="1" applyBorder="1" applyAlignment="1">
      <alignment horizontal="left" vertical="center" indent="2"/>
    </xf>
    <xf numFmtId="167" fontId="7" fillId="0" borderId="4" xfId="1" applyNumberFormat="1" applyFont="1" applyFill="1" applyBorder="1" applyAlignment="1">
      <alignment horizontal="right" vertical="center" indent="2"/>
    </xf>
    <xf numFmtId="168" fontId="7" fillId="0" borderId="0" xfId="2" applyNumberFormat="1" applyFont="1" applyFill="1" applyBorder="1" applyAlignment="1">
      <alignment horizontal="right" vertical="center" indent="2"/>
    </xf>
    <xf numFmtId="0" fontId="0" fillId="0" borderId="0" xfId="0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10" borderId="0" xfId="0" applyFont="1" applyFill="1" applyBorder="1"/>
    <xf numFmtId="167" fontId="4" fillId="10" borderId="0" xfId="0" applyNumberFormat="1" applyFont="1" applyFill="1" applyBorder="1"/>
    <xf numFmtId="0" fontId="4" fillId="0" borderId="0" xfId="0" applyFont="1" applyFill="1" applyBorder="1"/>
    <xf numFmtId="167" fontId="4" fillId="0" borderId="0" xfId="1" applyNumberFormat="1" applyFont="1" applyFill="1" applyBorder="1"/>
    <xf numFmtId="167" fontId="5" fillId="0" borderId="0" xfId="1" applyNumberFormat="1" applyFont="1" applyFill="1"/>
    <xf numFmtId="167" fontId="4" fillId="0" borderId="0" xfId="1" applyNumberFormat="1" applyFont="1" applyBorder="1"/>
    <xf numFmtId="167" fontId="5" fillId="0" borderId="0" xfId="1" applyNumberFormat="1" applyFont="1"/>
    <xf numFmtId="164" fontId="4" fillId="10" borderId="0" xfId="0" applyNumberFormat="1" applyFont="1" applyFill="1" applyBorder="1" applyAlignment="1"/>
    <xf numFmtId="0" fontId="2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0" xfId="0" applyFont="1"/>
    <xf numFmtId="0" fontId="22" fillId="0" borderId="0" xfId="0" applyFont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 vertical="center" indent="2"/>
    </xf>
    <xf numFmtId="43" fontId="7" fillId="0" borderId="10" xfId="1" applyFont="1" applyFill="1" applyBorder="1" applyAlignment="1">
      <alignment horizontal="right" vertical="center" indent="2"/>
    </xf>
    <xf numFmtId="43" fontId="7" fillId="0" borderId="0" xfId="1" applyFont="1" applyFill="1" applyBorder="1" applyAlignment="1">
      <alignment horizontal="right" vertical="center" indent="2"/>
    </xf>
    <xf numFmtId="164" fontId="7" fillId="2" borderId="0" xfId="0" applyNumberFormat="1" applyFont="1" applyFill="1" applyBorder="1" applyAlignment="1">
      <alignment horizontal="left" vertical="center" indent="2"/>
    </xf>
    <xf numFmtId="164" fontId="13" fillId="2" borderId="0" xfId="0" applyNumberFormat="1" applyFont="1" applyFill="1" applyBorder="1" applyAlignment="1">
      <alignment horizontal="left" vertical="center" indent="2"/>
    </xf>
    <xf numFmtId="0" fontId="7" fillId="0" borderId="0" xfId="0" applyNumberFormat="1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center" vertical="center"/>
    </xf>
    <xf numFmtId="43" fontId="4" fillId="10" borderId="0" xfId="0" applyNumberFormat="1" applyFont="1" applyFill="1" applyBorder="1"/>
    <xf numFmtId="43" fontId="13" fillId="0" borderId="4" xfId="1" applyNumberFormat="1" applyFont="1" applyFill="1" applyBorder="1" applyAlignment="1">
      <alignment horizontal="right" vertical="center" indent="2"/>
    </xf>
    <xf numFmtId="43" fontId="22" fillId="0" borderId="0" xfId="1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169" fontId="7" fillId="2" borderId="0" xfId="3" applyNumberFormat="1" applyFont="1" applyFill="1" applyBorder="1" applyAlignment="1">
      <alignment vertical="center"/>
    </xf>
    <xf numFmtId="169" fontId="7" fillId="0" borderId="0" xfId="3" applyNumberFormat="1" applyFont="1" applyFill="1" applyBorder="1" applyAlignment="1">
      <alignment vertical="center"/>
    </xf>
    <xf numFmtId="169" fontId="25" fillId="0" borderId="0" xfId="3" applyNumberFormat="1" applyFont="1" applyFill="1" applyBorder="1" applyAlignment="1">
      <alignment vertical="center"/>
    </xf>
    <xf numFmtId="169" fontId="7" fillId="0" borderId="5" xfId="3" applyNumberFormat="1" applyFont="1" applyFill="1" applyBorder="1" applyAlignment="1">
      <alignment vertical="center"/>
    </xf>
    <xf numFmtId="169" fontId="25" fillId="0" borderId="5" xfId="3" applyNumberFormat="1" applyFont="1" applyFill="1" applyBorder="1" applyAlignment="1">
      <alignment vertical="center"/>
    </xf>
    <xf numFmtId="169" fontId="7" fillId="0" borderId="6" xfId="3" applyNumberFormat="1" applyFont="1" applyFill="1" applyBorder="1" applyAlignment="1">
      <alignment vertical="center"/>
    </xf>
    <xf numFmtId="169" fontId="25" fillId="0" borderId="6" xfId="3" applyNumberFormat="1" applyFont="1" applyFill="1" applyBorder="1" applyAlignment="1">
      <alignment vertical="center"/>
    </xf>
    <xf numFmtId="164" fontId="13" fillId="2" borderId="0" xfId="0" applyNumberFormat="1" applyFont="1" applyFill="1" applyBorder="1" applyAlignment="1" applyProtection="1">
      <alignment horizontal="left" vertical="center" indent="2"/>
    </xf>
    <xf numFmtId="0" fontId="0" fillId="0" borderId="11" xfId="0" applyFill="1" applyBorder="1"/>
    <xf numFmtId="0" fontId="0" fillId="0" borderId="11" xfId="0" applyBorder="1"/>
    <xf numFmtId="167" fontId="4" fillId="2" borderId="0" xfId="1" applyNumberFormat="1" applyFont="1" applyFill="1" applyBorder="1"/>
    <xf numFmtId="167" fontId="5" fillId="2" borderId="0" xfId="1" applyNumberFormat="1" applyFont="1" applyFill="1"/>
    <xf numFmtId="164" fontId="4" fillId="2" borderId="0" xfId="1" applyNumberFormat="1" applyFont="1" applyFill="1" applyBorder="1" applyAlignment="1">
      <alignment horizontal="left" indent="1"/>
    </xf>
    <xf numFmtId="43" fontId="4" fillId="0" borderId="0" xfId="1" applyNumberFormat="1" applyFont="1" applyFill="1" applyBorder="1"/>
    <xf numFmtId="43" fontId="4" fillId="2" borderId="0" xfId="1" applyNumberFormat="1" applyFont="1" applyFill="1" applyBorder="1"/>
    <xf numFmtId="49" fontId="22" fillId="2" borderId="0" xfId="0" applyNumberFormat="1" applyFont="1" applyFill="1" applyBorder="1"/>
    <xf numFmtId="0" fontId="22" fillId="0" borderId="0" xfId="0" applyFont="1" applyFill="1" applyBorder="1"/>
    <xf numFmtId="49" fontId="22" fillId="0" borderId="0" xfId="0" applyNumberFormat="1" applyFont="1" applyFill="1" applyBorder="1" applyAlignment="1">
      <alignment horizontal="left" indent="2"/>
    </xf>
    <xf numFmtId="49" fontId="22" fillId="0" borderId="0" xfId="0" applyNumberFormat="1" applyFont="1" applyFill="1" applyBorder="1" applyAlignment="1">
      <alignment horizontal="left" indent="1"/>
    </xf>
    <xf numFmtId="0" fontId="24" fillId="0" borderId="0" xfId="0" applyFont="1"/>
    <xf numFmtId="165" fontId="5" fillId="0" borderId="0" xfId="0" applyNumberFormat="1" applyFont="1" applyFill="1" applyBorder="1" applyAlignment="1">
      <alignment horizontal="left" indent="2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43" fontId="22" fillId="0" borderId="0" xfId="1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30">
    <cellStyle name="Calculated Column - IBM Cognos" xfId="4"/>
    <cellStyle name="Calculated Column Name - IBM Cognos" xfId="5"/>
    <cellStyle name="Calculated Row - IBM Cognos" xfId="6"/>
    <cellStyle name="Calculated Row Name - IBM Cognos" xfId="7"/>
    <cellStyle name="Column Name - IBM Cognos" xfId="8"/>
    <cellStyle name="Column Template - IBM Cognos" xfId="9"/>
    <cellStyle name="Comma" xfId="1" builtinId="3"/>
    <cellStyle name="Comma 2" xfId="3"/>
    <cellStyle name="Differs From Base - IBM Cognos" xfId="10"/>
    <cellStyle name="Group Name - IBM Cognos" xfId="11"/>
    <cellStyle name="Hold Values - IBM Cognos" xfId="12"/>
    <cellStyle name="List Name - IBM Cognos" xfId="13"/>
    <cellStyle name="Locked - IBM Cognos" xfId="14"/>
    <cellStyle name="Measure - IBM Cognos" xfId="15"/>
    <cellStyle name="Measure Header - IBM Cognos" xfId="16"/>
    <cellStyle name="Measure Name - IBM Cognos" xfId="17"/>
    <cellStyle name="Measure Summary - IBM Cognos" xfId="18"/>
    <cellStyle name="Measure Summary TM1 - IBM Cognos" xfId="19"/>
    <cellStyle name="Measure Template - IBM Cognos" xfId="20"/>
    <cellStyle name="More - IBM Cognos" xfId="21"/>
    <cellStyle name="Normal" xfId="0" builtinId="0"/>
    <cellStyle name="Pending Change - IBM Cognos" xfId="22"/>
    <cellStyle name="Percent" xfId="2" builtinId="5"/>
    <cellStyle name="Row Name - IBM Cognos" xfId="23"/>
    <cellStyle name="Row Template - IBM Cognos" xfId="24"/>
    <cellStyle name="Summary Column Name - IBM Cognos" xfId="25"/>
    <cellStyle name="Summary Column Name TM1 - IBM Cognos" xfId="26"/>
    <cellStyle name="Summary Row Name - IBM Cognos" xfId="27"/>
    <cellStyle name="Summary Row Name TM1 - IBM Cognos" xfId="28"/>
    <cellStyle name="Unsaved Change - IBM Cognos" xfId="2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296DF"/>
      <color rgb="FFF3AB40"/>
      <color rgb="FFB6A1CB"/>
      <color rgb="FF08416B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84258481764421E-2"/>
          <c:y val="5.6628056628056631E-2"/>
          <c:w val="0.43787712438186382"/>
          <c:h val="0.88674388674388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96DF"/>
              </a:solidFill>
            </c:spPr>
          </c:dPt>
          <c:dPt>
            <c:idx val="1"/>
            <c:bubble3D val="0"/>
            <c:spPr>
              <a:solidFill>
                <a:srgbClr val="F3AB40"/>
              </a:solidFill>
            </c:spPr>
          </c:dPt>
          <c:dPt>
            <c:idx val="2"/>
            <c:bubble3D val="0"/>
            <c:spPr>
              <a:solidFill>
                <a:srgbClr val="8BC43F"/>
              </a:solidFill>
            </c:spPr>
          </c:dPt>
          <c:cat>
            <c:strRef>
              <c:f>'Operations Console'!$E$23:$E$25</c:f>
              <c:strCache>
                <c:ptCount val="3"/>
                <c:pt idx="0">
                  <c:v>Direct Material</c:v>
                </c:pt>
                <c:pt idx="1">
                  <c:v>Direct Labor</c:v>
                </c:pt>
                <c:pt idx="2">
                  <c:v>Indirect COGS</c:v>
                </c:pt>
              </c:strCache>
            </c:strRef>
          </c:cat>
          <c:val>
            <c:numRef>
              <c:f>'Operations Console'!$F$23:$F$25</c:f>
              <c:numCache>
                <c:formatCode>_(* #,##0_);_(* \(#,##0\);_(* "-"??_);_(@_)</c:formatCode>
                <c:ptCount val="3"/>
                <c:pt idx="0">
                  <c:v>6156822.6731840698</c:v>
                </c:pt>
                <c:pt idx="1">
                  <c:v>787743.79947516252</c:v>
                </c:pt>
                <c:pt idx="2">
                  <c:v>432000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</c:spPr>
    </c:plotArea>
    <c:legend>
      <c:legendPos val="r"/>
      <c:legendEntry>
        <c:idx val="0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1023177256012"/>
          <c:y val="2.8252405949256341E-2"/>
          <c:w val="0.7019106662598059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Gross Revenue</c:v>
                </c:pt>
              </c:strCache>
            </c:strRef>
          </c:tx>
          <c:spPr>
            <a:ln w="5715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Report!$F$9:$I$9</c:f>
              <c:numCache>
                <c:formatCode>_(* #,##0_);_(* \(#,##0\);_(* " "??_);_(@_)</c:formatCode>
                <c:ptCount val="4"/>
                <c:pt idx="0">
                  <c:v>24803584.374984458</c:v>
                </c:pt>
                <c:pt idx="1">
                  <c:v>23009512.947745789</c:v>
                </c:pt>
                <c:pt idx="2">
                  <c:v>25305914.080119014</c:v>
                </c:pt>
                <c:pt idx="3">
                  <c:v>29719353.401092254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Report!$C$11</c:f>
              <c:strCache>
                <c:ptCount val="1"/>
                <c:pt idx="0">
                  <c:v>Gross Margin</c:v>
                </c:pt>
              </c:strCache>
            </c:strRef>
          </c:tx>
          <c:spPr>
            <a:ln w="5715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Report!$F$11:$I$11</c:f>
              <c:numCache>
                <c:formatCode>_(* #,##0_);_(* \(#,##0\);_(* " "??_);_(@_)</c:formatCode>
                <c:ptCount val="4"/>
                <c:pt idx="0">
                  <c:v>11666937.243099723</c:v>
                </c:pt>
                <c:pt idx="1">
                  <c:v>10870617.516786356</c:v>
                </c:pt>
                <c:pt idx="2">
                  <c:v>11989327.755616581</c:v>
                </c:pt>
                <c:pt idx="3">
                  <c:v>13960774.916240547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Report!$C$13</c:f>
              <c:strCache>
                <c:ptCount val="1"/>
                <c:pt idx="0">
                  <c:v>Net Profit</c:v>
                </c:pt>
              </c:strCache>
            </c:strRef>
          </c:tx>
          <c:spPr>
            <a:ln w="5715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Report!$F$13:$I$13</c:f>
              <c:numCache>
                <c:formatCode>_(* #,##0_);_(* \(#,##0\);_(* " "??_);_(@_)</c:formatCode>
                <c:ptCount val="4"/>
                <c:pt idx="0">
                  <c:v>8281113.7076200992</c:v>
                </c:pt>
                <c:pt idx="1">
                  <c:v>7468306.2980585089</c:v>
                </c:pt>
                <c:pt idx="2">
                  <c:v>8168416.0886261966</c:v>
                </c:pt>
                <c:pt idx="3">
                  <c:v>9584940.385925835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788608"/>
        <c:axId val="1651790240"/>
      </c:lineChart>
      <c:catAx>
        <c:axId val="165178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651790240"/>
        <c:crosses val="autoZero"/>
        <c:auto val="1"/>
        <c:lblAlgn val="ctr"/>
        <c:lblOffset val="100"/>
        <c:noMultiLvlLbl val="0"/>
      </c:catAx>
      <c:valAx>
        <c:axId val="1651790240"/>
        <c:scaling>
          <c:orientation val="minMax"/>
        </c:scaling>
        <c:delete val="0"/>
        <c:axPos val="l"/>
        <c:numFmt formatCode="_(* #,##0_);_(* \(#,##0\);_(* &quot; &quot;??_);_(@_)" sourceLinked="1"/>
        <c:majorTickMark val="out"/>
        <c:minorTickMark val="none"/>
        <c:tickLblPos val="nextTo"/>
        <c:crossAx val="16517886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31602082899363E-2"/>
          <c:y val="9.3929463270532476E-2"/>
          <c:w val="0.77717453439037676"/>
          <c:h val="0.81340323249067548"/>
        </c:manualLayout>
      </c:layout>
      <c:lineChart>
        <c:grouping val="standard"/>
        <c:varyColors val="0"/>
        <c:ser>
          <c:idx val="0"/>
          <c:order val="0"/>
          <c:tx>
            <c:strRef>
              <c:f>'Performance Scorecard'!$A$10</c:f>
              <c:strCache>
                <c:ptCount val="1"/>
                <c:pt idx="0">
                  <c:v>Actual</c:v>
                </c:pt>
              </c:strCache>
            </c:strRef>
          </c:tx>
          <c:spPr>
            <a:ln w="5715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Scorecard'!$B$10:$M$10</c:f>
              <c:numCache>
                <c:formatCode>#,##0</c:formatCode>
                <c:ptCount val="12"/>
                <c:pt idx="0">
                  <c:v>1222377.8366479597</c:v>
                </c:pt>
                <c:pt idx="1">
                  <c:v>1283134.748974297</c:v>
                </c:pt>
                <c:pt idx="2">
                  <c:v>1295974.7669741979</c:v>
                </c:pt>
                <c:pt idx="3">
                  <c:v>1320365.7013157406</c:v>
                </c:pt>
                <c:pt idx="4">
                  <c:v>1209332.0764988046</c:v>
                </c:pt>
                <c:pt idx="5">
                  <c:v>1157783.2032311948</c:v>
                </c:pt>
                <c:pt idx="6">
                  <c:v>1159609.4211129991</c:v>
                </c:pt>
                <c:pt idx="7">
                  <c:v>1172221.5366209261</c:v>
                </c:pt>
                <c:pt idx="8">
                  <c:v>1023302.2082475515</c:v>
                </c:pt>
                <c:pt idx="9">
                  <c:v>1200995.713240081</c:v>
                </c:pt>
                <c:pt idx="10">
                  <c:v>1347097.0251075942</c:v>
                </c:pt>
                <c:pt idx="11">
                  <c:v>1544093.2741461475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Scorecard'!$A$11</c:f>
              <c:strCache>
                <c:ptCount val="1"/>
                <c:pt idx="0">
                  <c:v>Version1</c:v>
                </c:pt>
              </c:strCache>
            </c:strRef>
          </c:tx>
          <c:spPr>
            <a:ln w="5715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Scorecard'!$B$11:$M$11</c:f>
              <c:numCache>
                <c:formatCode>#,##0</c:formatCode>
                <c:ptCount val="12"/>
                <c:pt idx="0">
                  <c:v>3100508.6925407625</c:v>
                </c:pt>
                <c:pt idx="1">
                  <c:v>2660120.2722748993</c:v>
                </c:pt>
                <c:pt idx="2">
                  <c:v>2520484.7428044374</c:v>
                </c:pt>
                <c:pt idx="3">
                  <c:v>2473656.21863577</c:v>
                </c:pt>
                <c:pt idx="4">
                  <c:v>2519068.9626356224</c:v>
                </c:pt>
                <c:pt idx="5">
                  <c:v>2475581.1167871156</c:v>
                </c:pt>
                <c:pt idx="6">
                  <c:v>2662728.7764022537</c:v>
                </c:pt>
                <c:pt idx="7">
                  <c:v>2857484.5395644591</c:v>
                </c:pt>
                <c:pt idx="8">
                  <c:v>2648202.7726594838</c:v>
                </c:pt>
                <c:pt idx="9">
                  <c:v>2947720.2691876022</c:v>
                </c:pt>
                <c:pt idx="10">
                  <c:v>3279898.7924250076</c:v>
                </c:pt>
                <c:pt idx="11">
                  <c:v>3357321.3243132252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Scorecard'!$A$12</c:f>
              <c:strCache>
                <c:ptCount val="1"/>
                <c:pt idx="0">
                  <c:v>Predictive</c:v>
                </c:pt>
              </c:strCache>
            </c:strRef>
          </c:tx>
          <c:spPr>
            <a:ln w="5715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Scorecard'!$B$12:$M$12</c:f>
              <c:numCache>
                <c:formatCode>#,##0</c:formatCode>
                <c:ptCount val="12"/>
                <c:pt idx="0">
                  <c:v>1738359.6395019521</c:v>
                </c:pt>
                <c:pt idx="1">
                  <c:v>1738593.2011450478</c:v>
                </c:pt>
                <c:pt idx="2">
                  <c:v>1700699.7915893148</c:v>
                </c:pt>
                <c:pt idx="3">
                  <c:v>1739643.705321935</c:v>
                </c:pt>
                <c:pt idx="4">
                  <c:v>1660681.6422800105</c:v>
                </c:pt>
                <c:pt idx="5">
                  <c:v>1554788.0588014727</c:v>
                </c:pt>
                <c:pt idx="6">
                  <c:v>1725357.4313241227</c:v>
                </c:pt>
                <c:pt idx="7">
                  <c:v>1573640.8297711373</c:v>
                </c:pt>
                <c:pt idx="8">
                  <c:v>1903379.0865446797</c:v>
                </c:pt>
                <c:pt idx="9">
                  <c:v>1909781.2572638402</c:v>
                </c:pt>
                <c:pt idx="10">
                  <c:v>2329674.4747288697</c:v>
                </c:pt>
                <c:pt idx="11">
                  <c:v>1905783.5583308628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'Performance Scorecard'!$A$13</c:f>
              <c:strCache>
                <c:ptCount val="1"/>
                <c:pt idx="0">
                  <c:v>Forecast</c:v>
                </c:pt>
              </c:strCache>
            </c:strRef>
          </c:tx>
          <c:spPr>
            <a:ln w="57150">
              <a:solidFill>
                <a:srgbClr val="B6A1CB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Scorecard'!$B$13:$M$13</c:f>
              <c:numCache>
                <c:formatCode>#,##0</c:formatCode>
                <c:ptCount val="12"/>
                <c:pt idx="0">
                  <c:v>1222377.8366479597</c:v>
                </c:pt>
                <c:pt idx="1">
                  <c:v>1283134.748974297</c:v>
                </c:pt>
                <c:pt idx="2">
                  <c:v>1295974.7669741979</c:v>
                </c:pt>
                <c:pt idx="3">
                  <c:v>1320365.7013157406</c:v>
                </c:pt>
                <c:pt idx="4">
                  <c:v>1209332.0764988046</c:v>
                </c:pt>
                <c:pt idx="5">
                  <c:v>1157783.2032311948</c:v>
                </c:pt>
                <c:pt idx="6">
                  <c:v>1159609.4211129991</c:v>
                </c:pt>
                <c:pt idx="7">
                  <c:v>1172221.5366209261</c:v>
                </c:pt>
                <c:pt idx="8">
                  <c:v>1023302.2082475515</c:v>
                </c:pt>
                <c:pt idx="9">
                  <c:v>2088701.9080273672</c:v>
                </c:pt>
                <c:pt idx="10">
                  <c:v>2035673.575546677</c:v>
                </c:pt>
                <c:pt idx="11">
                  <c:v>2028281.9383207471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783168"/>
        <c:axId val="1651789152"/>
      </c:lineChart>
      <c:catAx>
        <c:axId val="165178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1651789152"/>
        <c:crosses val="autoZero"/>
        <c:auto val="1"/>
        <c:lblAlgn val="ctr"/>
        <c:lblOffset val="100"/>
        <c:noMultiLvlLbl val="0"/>
      </c:catAx>
      <c:valAx>
        <c:axId val="1651789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6517831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12001500" cy="298800"/>
    <xdr:sp macro="" textlink="">
      <xdr:nvSpPr>
        <xdr:cNvPr id="2" name="Rectangle 1"/>
        <xdr:cNvSpPr/>
      </xdr:nvSpPr>
      <xdr:spPr>
        <a:xfrm>
          <a:off x="295275" y="1524000"/>
          <a:ext cx="120015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Unit Demand Plan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19</xdr:row>
      <xdr:rowOff>0</xdr:rowOff>
    </xdr:from>
    <xdr:to>
      <xdr:col>15</xdr:col>
      <xdr:colOff>19050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0</xdr:colOff>
      <xdr:row>0</xdr:row>
      <xdr:rowOff>0</xdr:rowOff>
    </xdr:from>
    <xdr:ext cx="9153525" cy="298800"/>
    <xdr:sp macro="" textlink="">
      <xdr:nvSpPr>
        <xdr:cNvPr id="3" name="Rectangle 2"/>
        <xdr:cNvSpPr/>
      </xdr:nvSpPr>
      <xdr:spPr>
        <a:xfrm>
          <a:off x="76200" y="0"/>
          <a:ext cx="915352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Operations Console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</xdr:colOff>
      <xdr:row>8</xdr:row>
      <xdr:rowOff>0</xdr:rowOff>
    </xdr:from>
    <xdr:ext cx="4229100" cy="298800"/>
    <xdr:sp macro="" textlink="">
      <xdr:nvSpPr>
        <xdr:cNvPr id="3" name="Rectangle 2"/>
        <xdr:cNvSpPr/>
      </xdr:nvSpPr>
      <xdr:spPr>
        <a:xfrm>
          <a:off x="247651" y="1524000"/>
          <a:ext cx="42291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Bill of Material Master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123824</xdr:rowOff>
    </xdr:from>
    <xdr:to>
      <xdr:col>9</xdr:col>
      <xdr:colOff>0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</xdr:colOff>
      <xdr:row>0</xdr:row>
      <xdr:rowOff>0</xdr:rowOff>
    </xdr:from>
    <xdr:ext cx="7829550" cy="298800"/>
    <xdr:sp macro="" textlink="">
      <xdr:nvSpPr>
        <xdr:cNvPr id="3" name="Rectangle 2"/>
        <xdr:cNvSpPr/>
      </xdr:nvSpPr>
      <xdr:spPr>
        <a:xfrm>
          <a:off x="76201" y="0"/>
          <a:ext cx="7829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Income Statement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152400</xdr:rowOff>
    </xdr:from>
    <xdr:to>
      <xdr:col>12</xdr:col>
      <xdr:colOff>857250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11534774" cy="298800"/>
    <xdr:sp macro="" textlink="">
      <xdr:nvSpPr>
        <xdr:cNvPr id="3" name="Rectangle 2"/>
        <xdr:cNvSpPr/>
      </xdr:nvSpPr>
      <xdr:spPr>
        <a:xfrm>
          <a:off x="0" y="0"/>
          <a:ext cx="11534774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Net Profit by Version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BM%20Demos\SmartCo\Reports\Dept\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Admin"/>
      <sheetName val="UnitFcst"/>
      <sheetName val="ChannelDetail"/>
      <sheetName val="MarginDetail"/>
      <sheetName val="Lookup"/>
      <sheetName val="Assumptions"/>
      <sheetName val="Report"/>
      <sheetName val="Lookup (2)"/>
    </sheetNames>
    <sheetDataSet>
      <sheetData sheetId="0"/>
      <sheetData sheetId="1"/>
      <sheetData sheetId="2"/>
      <sheetData sheetId="3">
        <row r="8">
          <cell r="E8" t="str">
            <v>Channel Total</v>
          </cell>
        </row>
      </sheetData>
      <sheetData sheetId="4">
        <row r="2">
          <cell r="D2" t="str">
            <v>Yes</v>
          </cell>
        </row>
        <row r="3">
          <cell r="D3" t="str">
            <v>No</v>
          </cell>
        </row>
      </sheetData>
      <sheetData sheetId="5"/>
      <sheetData sheetId="6">
        <row r="9">
          <cell r="C9" t="str">
            <v>Phones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7"/>
  <sheetViews>
    <sheetView showGridLines="0" showRowColHeaders="0" tabSelected="1" topLeftCell="B10" workbookViewId="0">
      <selection activeCell="C27" sqref="C27"/>
    </sheetView>
  </sheetViews>
  <sheetFormatPr defaultRowHeight="15" x14ac:dyDescent="0.25"/>
  <cols>
    <col min="1" max="1" width="2.7109375" hidden="1" customWidth="1"/>
    <col min="2" max="2" width="1.7109375" customWidth="1"/>
    <col min="3" max="3" width="23.7109375" customWidth="1"/>
    <col min="4" max="4" width="14.7109375" customWidth="1"/>
    <col min="5" max="5" width="13.7109375" customWidth="1"/>
    <col min="6" max="7" width="11.7109375" customWidth="1"/>
    <col min="8" max="8" width="11.28515625" customWidth="1"/>
    <col min="9" max="9" width="11" customWidth="1"/>
    <col min="10" max="18" width="11.7109375" customWidth="1"/>
  </cols>
  <sheetData>
    <row r="1" spans="1:16" hidden="1" x14ac:dyDescent="0.25">
      <c r="A1" t="s">
        <v>5</v>
      </c>
    </row>
    <row r="2" spans="1:16" hidden="1" x14ac:dyDescent="0.25">
      <c r="A2">
        <f>0</f>
        <v>0</v>
      </c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idden="1" x14ac:dyDescent="0.25">
      <c r="A3">
        <f>1</f>
        <v>1</v>
      </c>
      <c r="C3" s="74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hidden="1" x14ac:dyDescent="0.25">
      <c r="A4">
        <f>2</f>
        <v>2</v>
      </c>
      <c r="C4" s="29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idden="1" x14ac:dyDescent="0.25">
      <c r="A5">
        <f>3</f>
        <v>3</v>
      </c>
      <c r="C5" s="29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idden="1" x14ac:dyDescent="0.25">
      <c r="A6" t="s">
        <v>3</v>
      </c>
      <c r="C6" s="2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idden="1" x14ac:dyDescent="0.25">
      <c r="A7" t="s">
        <v>4</v>
      </c>
      <c r="C7" s="29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hidden="1" x14ac:dyDescent="0.25">
      <c r="A8" t="s">
        <v>6</v>
      </c>
    </row>
    <row r="9" spans="1:16" hidden="1" x14ac:dyDescent="0.25">
      <c r="C9" t="str">
        <f ca="1">_xll.TM1RPTVIEW("smartco:Revenue:ARPT1", 1, _xll.TM1RPTTITLE("smartco:organization",$C$13), _xll.TM1RPTTITLE("smartco:Channel",$D$13), _xll.TM1RPTTITLE("smartco:Year",$F$13), _xll.TM1RPTTITLE("smartco:Version",$G$13), _xll.TM1RPTTITLE("smartco:Revenue",$E$13),TM1RPTFMTRNG,TM1RPTFMTIDCOL)</f>
        <v>smartco:Revenue:ARPT1</v>
      </c>
    </row>
    <row r="10" spans="1:16" ht="19.5" customHeight="1" x14ac:dyDescent="0.25">
      <c r="C10" s="21"/>
      <c r="D10" s="33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9" customHeight="1" x14ac:dyDescent="0.25"/>
    <row r="12" spans="1:16" x14ac:dyDescent="0.25">
      <c r="C12" s="4" t="s">
        <v>42</v>
      </c>
      <c r="D12" s="5" t="s">
        <v>16</v>
      </c>
      <c r="E12" s="5" t="s">
        <v>17</v>
      </c>
      <c r="F12" s="5" t="s">
        <v>1</v>
      </c>
      <c r="G12" s="6" t="s">
        <v>18</v>
      </c>
    </row>
    <row r="13" spans="1:16" x14ac:dyDescent="0.25">
      <c r="C13" s="45" t="str">
        <f ca="1">_xll.SUBNM("smartco:organization","Workflow","Total Company","Caption_Default")</f>
        <v>Total Company</v>
      </c>
      <c r="D13" s="45" t="str">
        <f ca="1">_xll.SUBNM("smartco:Channel","Default","Channel Total","Caption_Default")</f>
        <v>Channel Total</v>
      </c>
      <c r="E13" s="45" t="str">
        <f ca="1">_xll.SUBNM("smartco:Revenue","","Units Sold")</f>
        <v>Units Sold</v>
      </c>
      <c r="F13" s="45" t="str">
        <f ca="1">_xll.SUBNM("smartco:Year","Default","Y2","Caption_Default")</f>
        <v>2015</v>
      </c>
      <c r="G13" s="45" t="str">
        <f ca="1">_xll.SUBNM("smartco:Version","Current",_xll.DBR("smartco:Calendar","Current Version","String"),"Caption_Default")</f>
        <v>Budget</v>
      </c>
    </row>
    <row r="14" spans="1:16" ht="8.25" customHeight="1" x14ac:dyDescent="0.25">
      <c r="C14" s="1"/>
    </row>
    <row r="15" spans="1:16" ht="15.75" thickBot="1" x14ac:dyDescent="0.3">
      <c r="C15" s="63"/>
      <c r="D15" s="63" t="s">
        <v>1</v>
      </c>
      <c r="E15" s="63" t="s">
        <v>19</v>
      </c>
      <c r="F15" s="63" t="s">
        <v>20</v>
      </c>
      <c r="G15" s="63" t="s">
        <v>21</v>
      </c>
      <c r="H15" s="63" t="s">
        <v>22</v>
      </c>
      <c r="I15" s="63" t="s">
        <v>23</v>
      </c>
      <c r="J15" s="63" t="s">
        <v>24</v>
      </c>
      <c r="K15" s="63" t="s">
        <v>25</v>
      </c>
      <c r="L15" s="63" t="s">
        <v>26</v>
      </c>
      <c r="M15" s="63" t="s">
        <v>27</v>
      </c>
      <c r="N15" s="63" t="s">
        <v>28</v>
      </c>
      <c r="O15" s="63" t="s">
        <v>29</v>
      </c>
      <c r="P15" s="63" t="s">
        <v>30</v>
      </c>
    </row>
    <row r="16" spans="1:16" ht="15.75" thickTop="1" x14ac:dyDescent="0.25">
      <c r="A16">
        <f ca="1">IF(_xll.TM1RPTELISCONSOLIDATED($C$16,$C16),IF(_xll.TM1RPTELLEV($C$16,$C16)&lt;=3,_xll.TM1RPTELLEV($C$16,$C16),"D"),"N")</f>
        <v>0</v>
      </c>
      <c r="C16" s="44" t="str">
        <f ca="1">_xll.TM1RPTROW($C$9,"smartco:product","Default")</f>
        <v>Product Total</v>
      </c>
      <c r="D16" s="38">
        <f ca="1">_xll.DBRW($C$9,$C$13,$D$13,$C16,D$15,$F$13,$G$13,$E$13)</f>
        <v>278028.98825289996</v>
      </c>
      <c r="E16" s="38">
        <f ca="1">_xll.DBRW($C$9,$C$13,$D$13,$C16,E$15,$F$13,$G$13,$E$13)</f>
        <v>26168.866299040736</v>
      </c>
      <c r="F16" s="38">
        <f ca="1">_xll.DBRW($C$9,$C$13,$D$13,$C16,F$15,$F$13,$G$13,$E$13)</f>
        <v>21620.260304892938</v>
      </c>
      <c r="G16" s="38">
        <f ca="1">_xll.DBRW($C$9,$C$13,$D$13,$C16,G$15,$F$13,$G$13,$E$13)</f>
        <v>20425.395699083379</v>
      </c>
      <c r="H16" s="38">
        <f ca="1">_xll.DBRW($C$9,$C$13,$D$13,$C16,H$15,$F$13,$G$13,$E$13)</f>
        <v>19912.698492038169</v>
      </c>
      <c r="I16" s="38">
        <f ca="1">_xll.DBRW($C$9,$C$13,$D$13,$C16,I$15,$F$13,$G$13,$E$13)</f>
        <v>20715.524314351398</v>
      </c>
      <c r="J16" s="38">
        <f ca="1">_xll.DBRW($C$9,$C$13,$D$13,$C16,J$15,$F$13,$G$13,$E$13)</f>
        <v>20640.631373580927</v>
      </c>
      <c r="K16" s="38">
        <f ca="1">_xll.DBRW($C$9,$C$13,$D$13,$C16,K$15,$F$13,$G$13,$E$13)</f>
        <v>21582.616411554009</v>
      </c>
      <c r="L16" s="38">
        <f ca="1">_xll.DBRW($C$9,$C$13,$D$13,$C16,L$15,$F$13,$G$13,$E$13)</f>
        <v>22943.618521265267</v>
      </c>
      <c r="M16" s="38">
        <f ca="1">_xll.DBRW($C$9,$C$13,$D$13,$C16,M$15,$F$13,$G$13,$E$13)</f>
        <v>22758.025346552193</v>
      </c>
      <c r="N16" s="38">
        <f ca="1">_xll.DBRW($C$9,$C$13,$D$13,$C16,N$15,$F$13,$G$13,$E$13)</f>
        <v>25319.799328644203</v>
      </c>
      <c r="O16" s="38">
        <f ca="1">_xll.DBRW($C$9,$C$13,$D$13,$C16,O$15,$F$13,$G$13,$E$13)</f>
        <v>27397.930938337049</v>
      </c>
      <c r="P16" s="38">
        <f ca="1">_xll.DBRW($C$9,$C$13,$D$13,$C16,P$15,$F$13,$G$13,$E$13)</f>
        <v>28543.621223560363</v>
      </c>
    </row>
    <row r="17" spans="1:16" x14ac:dyDescent="0.25">
      <c r="A17">
        <f ca="1">IF(_xll.TM1RPTELISCONSOLIDATED($C$16,$C17),IF(_xll.TM1RPTELLEV($C$16,$C17)&lt;=3,_xll.TM1RPTELLEV($C$16,$C17),"D"),"N")</f>
        <v>1</v>
      </c>
      <c r="C17" s="76" t="s">
        <v>31</v>
      </c>
      <c r="D17" s="74">
        <f ca="1">_xll.DBRW($C$9,$C$13,$D$13,$C17,D$15,$F$13,$G$13,$E$13)</f>
        <v>169286.38379598857</v>
      </c>
      <c r="E17" s="75">
        <f ca="1">_xll.DBRW($C$9,$C$13,$D$13,$C17,E$15,$F$13,$G$13,$E$13)</f>
        <v>16029.234342128708</v>
      </c>
      <c r="F17" s="75">
        <f ca="1">_xll.DBRW($C$9,$C$13,$D$13,$C17,F$15,$F$13,$G$13,$E$13)</f>
        <v>12852.467804892935</v>
      </c>
      <c r="G17" s="75">
        <f ca="1">_xll.DBRW($C$9,$C$13,$D$13,$C17,G$15,$F$13,$G$13,$E$13)</f>
        <v>11738.608199083375</v>
      </c>
      <c r="H17" s="75">
        <f ca="1">_xll.DBRW($C$9,$C$13,$D$13,$C17,H$15,$F$13,$G$13,$E$13)</f>
        <v>12030.598492038165</v>
      </c>
      <c r="I17" s="75">
        <f ca="1">_xll.DBRW($C$9,$C$13,$D$13,$C17,I$15,$F$13,$G$13,$E$13)</f>
        <v>12683.441814351394</v>
      </c>
      <c r="J17" s="75">
        <f ca="1">_xll.DBRW($C$9,$C$13,$D$13,$C17,J$15,$F$13,$G$13,$E$13)</f>
        <v>12244.42387358093</v>
      </c>
      <c r="K17" s="75">
        <f ca="1">_xll.DBRW($C$9,$C$13,$D$13,$C17,K$15,$F$13,$G$13,$E$13)</f>
        <v>13004.581411554003</v>
      </c>
      <c r="L17" s="75">
        <f ca="1">_xll.DBRW($C$9,$C$13,$D$13,$C17,L$15,$F$13,$G$13,$E$13)</f>
        <v>14093.69852126526</v>
      </c>
      <c r="M17" s="75">
        <f ca="1">_xll.DBRW($C$9,$C$13,$D$13,$C17,M$15,$F$13,$G$13,$E$13)</f>
        <v>13749.145346552192</v>
      </c>
      <c r="N17" s="75">
        <f ca="1">_xll.DBRW($C$9,$C$13,$D$13,$C17,N$15,$F$13,$G$13,$E$13)</f>
        <v>15684.901828644201</v>
      </c>
      <c r="O17" s="75">
        <f ca="1">_xll.DBRW($C$9,$C$13,$D$13,$C17,O$15,$F$13,$G$13,$E$13)</f>
        <v>17427.238438337041</v>
      </c>
      <c r="P17" s="75">
        <f ca="1">_xll.DBRW($C$9,$C$13,$D$13,$C17,P$15,$F$13,$G$13,$E$13)</f>
        <v>17748.04372356036</v>
      </c>
    </row>
    <row r="18" spans="1:16" x14ac:dyDescent="0.25">
      <c r="A18">
        <f ca="1">IF(_xll.TM1RPTELISCONSOLIDATED($C$16,$C18),IF(_xll.TM1RPTELLEV($C$16,$C18)&lt;=3,_xll.TM1RPTELLEV($C$16,$C18),"D"),"N")</f>
        <v>2</v>
      </c>
      <c r="C18" s="84" t="s">
        <v>32</v>
      </c>
      <c r="D18" s="40">
        <f ca="1">_xll.DBRW($C$9,$C$13,$D$13,$C18,D$15,$F$13,$G$13,$E$13)</f>
        <v>83181.680826735406</v>
      </c>
      <c r="E18" s="41">
        <f ca="1">_xll.DBRW($C$9,$C$13,$D$13,$C18,E$15,$F$13,$G$13,$E$13)</f>
        <v>10203.585873090835</v>
      </c>
      <c r="F18" s="41">
        <f ca="1">_xll.DBRW($C$9,$C$13,$D$13,$C18,F$15,$F$13,$G$13,$E$13)</f>
        <v>7777.9368552176902</v>
      </c>
      <c r="G18" s="41">
        <f ca="1">_xll.DBRW($C$9,$C$13,$D$13,$C18,G$15,$F$13,$G$13,$E$13)</f>
        <v>6610.4673001690335</v>
      </c>
      <c r="H18" s="41">
        <f ca="1">_xll.DBRW($C$9,$C$13,$D$13,$C18,H$15,$F$13,$G$13,$E$13)</f>
        <v>6491.4216230643788</v>
      </c>
      <c r="I18" s="41">
        <f ca="1">_xll.DBRW($C$9,$C$13,$D$13,$C18,I$15,$F$13,$G$13,$E$13)</f>
        <v>6929.8549631069118</v>
      </c>
      <c r="J18" s="41">
        <f ca="1">_xll.DBRW($C$9,$C$13,$D$13,$C18,J$15,$F$13,$G$13,$E$13)</f>
        <v>6277.3916716926715</v>
      </c>
      <c r="K18" s="41">
        <f ca="1">_xll.DBRW($C$9,$C$13,$D$13,$C18,K$15,$F$13,$G$13,$E$13)</f>
        <v>6344.0418729869216</v>
      </c>
      <c r="L18" s="41">
        <f ca="1">_xll.DBRW($C$9,$C$13,$D$13,$C18,L$15,$F$13,$G$13,$E$13)</f>
        <v>6412.254338446447</v>
      </c>
      <c r="M18" s="41">
        <f ca="1">_xll.DBRW($C$9,$C$13,$D$13,$C18,M$15,$F$13,$G$13,$E$13)</f>
        <v>5989.2792351500775</v>
      </c>
      <c r="N18" s="41">
        <f ca="1">_xll.DBRW($C$9,$C$13,$D$13,$C18,N$15,$F$13,$G$13,$E$13)</f>
        <v>6361.9518722057392</v>
      </c>
      <c r="O18" s="41">
        <f ca="1">_xll.DBRW($C$9,$C$13,$D$13,$C18,O$15,$F$13,$G$13,$E$13)</f>
        <v>6869.5839639237274</v>
      </c>
      <c r="P18" s="41">
        <f ca="1">_xll.DBRW($C$9,$C$13,$D$13,$C18,P$15,$F$13,$G$13,$E$13)</f>
        <v>6913.9112576809666</v>
      </c>
    </row>
    <row r="19" spans="1:16" x14ac:dyDescent="0.25">
      <c r="A19">
        <f ca="1">IF(_xll.TM1RPTELISCONSOLIDATED($C$16,$C19),IF(_xll.TM1RPTELLEV($C$16,$C19)&lt;=3,_xll.TM1RPTELLEV($C$16,$C19),"D"),"N")</f>
        <v>2</v>
      </c>
      <c r="C19" s="84" t="s">
        <v>33</v>
      </c>
      <c r="D19" s="40">
        <f ca="1">_xll.DBRW($C$9,$C$13,$D$13,$C19,D$15,$F$13,$G$13,$E$13)</f>
        <v>68731.47268431788</v>
      </c>
      <c r="E19" s="41">
        <f ca="1">_xll.DBRW($C$9,$C$13,$D$13,$C19,E$15,$F$13,$G$13,$E$13)</f>
        <v>4384.1490403026091</v>
      </c>
      <c r="F19" s="41">
        <f ca="1">_xll.DBRW($C$9,$C$13,$D$13,$C19,F$15,$F$13,$G$13,$E$13)</f>
        <v>3721.7817995464575</v>
      </c>
      <c r="G19" s="41">
        <f ca="1">_xll.DBRW($C$9,$C$13,$D$13,$C19,G$15,$F$13,$G$13,$E$13)</f>
        <v>3758.0066980246502</v>
      </c>
      <c r="H19" s="41">
        <f ca="1">_xll.DBRW($C$9,$C$13,$D$13,$C19,H$15,$F$13,$G$13,$E$13)</f>
        <v>4151.6829856962731</v>
      </c>
      <c r="I19" s="41">
        <f ca="1">_xll.DBRW($C$9,$C$13,$D$13,$C19,I$15,$F$13,$G$13,$E$13)</f>
        <v>4354.120836340051</v>
      </c>
      <c r="J19" s="41">
        <f ca="1">_xll.DBRW($C$9,$C$13,$D$13,$C19,J$15,$F$13,$G$13,$E$13)</f>
        <v>4539.5711869838278</v>
      </c>
      <c r="K19" s="41">
        <f ca="1">_xll.DBRW($C$9,$C$13,$D$13,$C19,K$15,$F$13,$G$13,$E$13)</f>
        <v>5220.7163412748287</v>
      </c>
      <c r="L19" s="41">
        <f ca="1">_xll.DBRW($C$9,$C$13,$D$13,$C19,L$15,$F$13,$G$13,$E$13)</f>
        <v>6219.2334347656551</v>
      </c>
      <c r="M19" s="41">
        <f ca="1">_xll.DBRW($C$9,$C$13,$D$13,$C19,M$15,$F$13,$G$13,$E$13)</f>
        <v>6273.6832317220396</v>
      </c>
      <c r="N19" s="41">
        <f ca="1">_xll.DBRW($C$9,$C$13,$D$13,$C19,N$15,$F$13,$G$13,$E$13)</f>
        <v>7807.7949451314689</v>
      </c>
      <c r="O19" s="41">
        <f ca="1">_xll.DBRW($C$9,$C$13,$D$13,$C19,O$15,$F$13,$G$13,$E$13)</f>
        <v>9021.1144123454178</v>
      </c>
      <c r="P19" s="41">
        <f ca="1">_xll.DBRW($C$9,$C$13,$D$13,$C19,P$15,$F$13,$G$13,$E$13)</f>
        <v>9279.6177721845816</v>
      </c>
    </row>
    <row r="20" spans="1:16" x14ac:dyDescent="0.25">
      <c r="A20">
        <f ca="1">IF(_xll.TM1RPTELISCONSOLIDATED($C$16,$C20),IF(_xll.TM1RPTELLEV($C$16,$C20)&lt;=3,_xll.TM1RPTELLEV($C$16,$C20),"D"),"N")</f>
        <v>2</v>
      </c>
      <c r="C20" s="84" t="s">
        <v>34</v>
      </c>
      <c r="D20" s="40">
        <f ca="1">_xll.DBRW($C$9,$C$13,$D$13,$C20,D$15,$F$13,$G$13,$E$13)</f>
        <v>17373.230284935311</v>
      </c>
      <c r="E20" s="41">
        <f ca="1">_xll.DBRW($C$9,$C$13,$D$13,$C20,E$15,$F$13,$G$13,$E$13)</f>
        <v>1441.4994287352633</v>
      </c>
      <c r="F20" s="41">
        <f ca="1">_xll.DBRW($C$9,$C$13,$D$13,$C20,F$15,$F$13,$G$13,$E$13)</f>
        <v>1352.7491501287882</v>
      </c>
      <c r="G20" s="41">
        <f ca="1">_xll.DBRW($C$9,$C$13,$D$13,$C20,G$15,$F$13,$G$13,$E$13)</f>
        <v>1370.134200889692</v>
      </c>
      <c r="H20" s="41">
        <f ca="1">_xll.DBRW($C$9,$C$13,$D$13,$C20,H$15,$F$13,$G$13,$E$13)</f>
        <v>1387.4938832775138</v>
      </c>
      <c r="I20" s="41">
        <f ca="1">_xll.DBRW($C$9,$C$13,$D$13,$C20,I$15,$F$13,$G$13,$E$13)</f>
        <v>1399.4660149044316</v>
      </c>
      <c r="J20" s="41">
        <f ca="1">_xll.DBRW($C$9,$C$13,$D$13,$C20,J$15,$F$13,$G$13,$E$13)</f>
        <v>1427.4610149044315</v>
      </c>
      <c r="K20" s="41">
        <f ca="1">_xll.DBRW($C$9,$C$13,$D$13,$C20,K$15,$F$13,$G$13,$E$13)</f>
        <v>1439.8231972922533</v>
      </c>
      <c r="L20" s="41">
        <f ca="1">_xll.DBRW($C$9,$C$13,$D$13,$C20,L$15,$F$13,$G$13,$E$13)</f>
        <v>1462.2107480531572</v>
      </c>
      <c r="M20" s="41">
        <f ca="1">_xll.DBRW($C$9,$C$13,$D$13,$C20,M$15,$F$13,$G$13,$E$13)</f>
        <v>1486.1828796800751</v>
      </c>
      <c r="N20" s="41">
        <f ca="1">_xll.DBRW($C$9,$C$13,$D$13,$C20,N$15,$F$13,$G$13,$E$13)</f>
        <v>1515.1550113069929</v>
      </c>
      <c r="O20" s="41">
        <f ca="1">_xll.DBRW($C$9,$C$13,$D$13,$C20,O$15,$F$13,$G$13,$E$13)</f>
        <v>1536.5400620678965</v>
      </c>
      <c r="P20" s="41">
        <f ca="1">_xll.DBRW($C$9,$C$13,$D$13,$C20,P$15,$F$13,$G$13,$E$13)</f>
        <v>1554.5146936948145</v>
      </c>
    </row>
    <row r="21" spans="1:16" x14ac:dyDescent="0.25">
      <c r="A21">
        <f ca="1">IF(_xll.TM1RPTELISCONSOLIDATED($C$16,$C21),IF(_xll.TM1RPTELLEV($C$16,$C21)&lt;=3,_xll.TM1RPTELLEV($C$16,$C21),"D"),"N")</f>
        <v>1</v>
      </c>
      <c r="C21" s="76" t="s">
        <v>35</v>
      </c>
      <c r="D21" s="74">
        <f ca="1">_xll.DBRW($C$9,$C$13,$D$13,$C21,D$15,$F$13,$G$13,$E$13)</f>
        <v>53172.014398563733</v>
      </c>
      <c r="E21" s="75">
        <f ca="1">_xll.DBRW($C$9,$C$13,$D$13,$C21,E$15,$F$13,$G$13,$E$13)</f>
        <v>4975.1543985637345</v>
      </c>
      <c r="F21" s="75">
        <f ca="1">_xll.DBRW($C$9,$C$13,$D$13,$C21,F$15,$F$13,$G$13,$E$13)</f>
        <v>4262.4724999999999</v>
      </c>
      <c r="G21" s="75">
        <f ca="1">_xll.DBRW($C$9,$C$13,$D$13,$C21,G$15,$F$13,$G$13,$E$13)</f>
        <v>4234.4725000000008</v>
      </c>
      <c r="H21" s="75">
        <f ca="1">_xll.DBRW($C$9,$C$13,$D$13,$C21,H$15,$F$13,$G$13,$E$13)</f>
        <v>4209.4650000000001</v>
      </c>
      <c r="I21" s="75">
        <f ca="1">_xll.DBRW($C$9,$C$13,$D$13,$C21,I$15,$F$13,$G$13,$E$13)</f>
        <v>4260.46</v>
      </c>
      <c r="J21" s="75">
        <f ca="1">_xll.DBRW($C$9,$C$13,$D$13,$C21,J$15,$F$13,$G$13,$E$13)</f>
        <v>4326.4475000000002</v>
      </c>
      <c r="K21" s="75">
        <f ca="1">_xll.DBRW($C$9,$C$13,$D$13,$C21,K$15,$F$13,$G$13,$E$13)</f>
        <v>4364.43</v>
      </c>
      <c r="L21" s="75">
        <f ca="1">_xll.DBRW($C$9,$C$13,$D$13,$C21,L$15,$F$13,$G$13,$E$13)</f>
        <v>4422.4225000000006</v>
      </c>
      <c r="M21" s="75">
        <f ca="1">_xll.DBRW($C$9,$C$13,$D$13,$C21,M$15,$F$13,$G$13,$E$13)</f>
        <v>4484.3950000000004</v>
      </c>
      <c r="N21" s="75">
        <f ca="1">_xll.DBRW($C$9,$C$13,$D$13,$C21,N$15,$F$13,$G$13,$E$13)</f>
        <v>4489.4300000000012</v>
      </c>
      <c r="O21" s="75">
        <f ca="1">_xll.DBRW($C$9,$C$13,$D$13,$C21,O$15,$F$13,$G$13,$E$13)</f>
        <v>4533.42</v>
      </c>
      <c r="P21" s="75">
        <f ca="1">_xll.DBRW($C$9,$C$13,$D$13,$C21,P$15,$F$13,$G$13,$E$13)</f>
        <v>4609.4449999999997</v>
      </c>
    </row>
    <row r="22" spans="1:16" x14ac:dyDescent="0.25">
      <c r="A22">
        <f ca="1">IF(_xll.TM1RPTELISCONSOLIDATED($C$16,$C22),IF(_xll.TM1RPTELLEV($C$16,$C22)&lt;=3,_xll.TM1RPTELLEV($C$16,$C22),"D"),"N")</f>
        <v>2</v>
      </c>
      <c r="C22" s="84" t="s">
        <v>36</v>
      </c>
      <c r="D22" s="40">
        <f ca="1">_xll.DBRW($C$9,$C$13,$D$13,$C22,D$15,$F$13,$G$13,$E$13)</f>
        <v>9744.3332405745077</v>
      </c>
      <c r="E22" s="41">
        <f ca="1">_xll.DBRW($C$9,$C$13,$D$13,$C22,E$15,$F$13,$G$13,$E$13)</f>
        <v>935.1382405745062</v>
      </c>
      <c r="F22" s="41">
        <f ca="1">_xll.DBRW($C$9,$C$13,$D$13,$C22,F$15,$F$13,$G$13,$E$13)</f>
        <v>824.92250000000001</v>
      </c>
      <c r="G22" s="41">
        <f ca="1">_xll.DBRW($C$9,$C$13,$D$13,$C22,G$15,$F$13,$G$13,$E$13)</f>
        <v>783.93000000000006</v>
      </c>
      <c r="H22" s="41">
        <f ca="1">_xll.DBRW($C$9,$C$13,$D$13,$C22,H$15,$F$13,$G$13,$E$13)</f>
        <v>776.92750000000001</v>
      </c>
      <c r="I22" s="41">
        <f ca="1">_xll.DBRW($C$9,$C$13,$D$13,$C22,I$15,$F$13,$G$13,$E$13)</f>
        <v>782.93000000000006</v>
      </c>
      <c r="J22" s="41">
        <f ca="1">_xll.DBRW($C$9,$C$13,$D$13,$C22,J$15,$F$13,$G$13,$E$13)</f>
        <v>791.92499999999995</v>
      </c>
      <c r="K22" s="41">
        <f ca="1">_xll.DBRW($C$9,$C$13,$D$13,$C22,K$15,$F$13,$G$13,$E$13)</f>
        <v>803.92499999999995</v>
      </c>
      <c r="L22" s="41">
        <f ca="1">_xll.DBRW($C$9,$C$13,$D$13,$C22,L$15,$F$13,$G$13,$E$13)</f>
        <v>814.92499999999995</v>
      </c>
      <c r="M22" s="41">
        <f ca="1">_xll.DBRW($C$9,$C$13,$D$13,$C22,M$15,$F$13,$G$13,$E$13)</f>
        <v>810.9325</v>
      </c>
      <c r="N22" s="41">
        <f ca="1">_xll.DBRW($C$9,$C$13,$D$13,$C22,N$15,$F$13,$G$13,$E$13)</f>
        <v>807.92000000000007</v>
      </c>
      <c r="O22" s="41">
        <f ca="1">_xll.DBRW($C$9,$C$13,$D$13,$C22,O$15,$F$13,$G$13,$E$13)</f>
        <v>805.92750000000001</v>
      </c>
      <c r="P22" s="41">
        <f ca="1">_xll.DBRW($C$9,$C$13,$D$13,$C22,P$15,$F$13,$G$13,$E$13)</f>
        <v>804.93000000000006</v>
      </c>
    </row>
    <row r="23" spans="1:16" x14ac:dyDescent="0.25">
      <c r="A23">
        <f ca="1">IF(_xll.TM1RPTELISCONSOLIDATED($C$16,$C23),IF(_xll.TM1RPTELLEV($C$16,$C23)&lt;=3,_xll.TM1RPTELLEV($C$16,$C23),"D"),"N")</f>
        <v>2</v>
      </c>
      <c r="C23" s="84" t="s">
        <v>37</v>
      </c>
      <c r="D23" s="40">
        <f ca="1">_xll.DBRW($C$9,$C$13,$D$13,$C23,D$15,$F$13,$G$13,$E$13)</f>
        <v>36770.685363554767</v>
      </c>
      <c r="E23" s="41">
        <f ca="1">_xll.DBRW($C$9,$C$13,$D$13,$C23,E$15,$F$13,$G$13,$E$13)</f>
        <v>3411.6678635547578</v>
      </c>
      <c r="F23" s="41">
        <f ca="1">_xll.DBRW($C$9,$C$13,$D$13,$C23,F$15,$F$13,$G$13,$E$13)</f>
        <v>2904.5825</v>
      </c>
      <c r="G23" s="41">
        <f ca="1">_xll.DBRW($C$9,$C$13,$D$13,$C23,G$15,$F$13,$G$13,$E$13)</f>
        <v>2918.5750000000003</v>
      </c>
      <c r="H23" s="41">
        <f ca="1">_xll.DBRW($C$9,$C$13,$D$13,$C23,H$15,$F$13,$G$13,$E$13)</f>
        <v>2899.57</v>
      </c>
      <c r="I23" s="41">
        <f ca="1">_xll.DBRW($C$9,$C$13,$D$13,$C23,I$15,$F$13,$G$13,$E$13)</f>
        <v>2943.5625000000005</v>
      </c>
      <c r="J23" s="41">
        <f ca="1">_xll.DBRW($C$9,$C$13,$D$13,$C23,J$15,$F$13,$G$13,$E$13)</f>
        <v>3002.5550000000003</v>
      </c>
      <c r="K23" s="41">
        <f ca="1">_xll.DBRW($C$9,$C$13,$D$13,$C23,K$15,$F$13,$G$13,$E$13)</f>
        <v>3026.5374999999999</v>
      </c>
      <c r="L23" s="41">
        <f ca="1">_xll.DBRW($C$9,$C$13,$D$13,$C23,L$15,$F$13,$G$13,$E$13)</f>
        <v>3073.53</v>
      </c>
      <c r="M23" s="41">
        <f ca="1">_xll.DBRW($C$9,$C$13,$D$13,$C23,M$15,$F$13,$G$13,$E$13)</f>
        <v>3097.4950000000003</v>
      </c>
      <c r="N23" s="41">
        <f ca="1">_xll.DBRW($C$9,$C$13,$D$13,$C23,N$15,$F$13,$G$13,$E$13)</f>
        <v>3120.5375000000004</v>
      </c>
      <c r="O23" s="41">
        <f ca="1">_xll.DBRW($C$9,$C$13,$D$13,$C23,O$15,$F$13,$G$13,$E$13)</f>
        <v>3148.5250000000005</v>
      </c>
      <c r="P23" s="41">
        <f ca="1">_xll.DBRW($C$9,$C$13,$D$13,$C23,P$15,$F$13,$G$13,$E$13)</f>
        <v>3223.5475000000001</v>
      </c>
    </row>
    <row r="24" spans="1:16" x14ac:dyDescent="0.25">
      <c r="A24">
        <f ca="1">IF(_xll.TM1RPTELISCONSOLIDATED($C$16,$C24),IF(_xll.TM1RPTELLEV($C$16,$C24)&lt;=3,_xll.TM1RPTELLEV($C$16,$C24),"D"),"N")</f>
        <v>2</v>
      </c>
      <c r="C24" s="84" t="s">
        <v>38</v>
      </c>
      <c r="D24" s="40">
        <f ca="1">_xll.DBRW($C$9,$C$13,$D$13,$C24,D$15,$F$13,$G$13,$E$13)</f>
        <v>6656.9957944344669</v>
      </c>
      <c r="E24" s="41">
        <f ca="1">_xll.DBRW($C$9,$C$13,$D$13,$C24,E$15,$F$13,$G$13,$E$13)</f>
        <v>628.3482944344704</v>
      </c>
      <c r="F24" s="41">
        <f ca="1">_xll.DBRW($C$9,$C$13,$D$13,$C24,F$15,$F$13,$G$13,$E$13)</f>
        <v>532.96749999999997</v>
      </c>
      <c r="G24" s="41">
        <f ca="1">_xll.DBRW($C$9,$C$13,$D$13,$C24,G$15,$F$13,$G$13,$E$13)</f>
        <v>531.96749999999997</v>
      </c>
      <c r="H24" s="41">
        <f ca="1">_xll.DBRW($C$9,$C$13,$D$13,$C24,H$15,$F$13,$G$13,$E$13)</f>
        <v>532.96749999999997</v>
      </c>
      <c r="I24" s="41">
        <f ca="1">_xll.DBRW($C$9,$C$13,$D$13,$C24,I$15,$F$13,$G$13,$E$13)</f>
        <v>533.96749999999997</v>
      </c>
      <c r="J24" s="41">
        <f ca="1">_xll.DBRW($C$9,$C$13,$D$13,$C24,J$15,$F$13,$G$13,$E$13)</f>
        <v>531.96749999999997</v>
      </c>
      <c r="K24" s="41">
        <f ca="1">_xll.DBRW($C$9,$C$13,$D$13,$C24,K$15,$F$13,$G$13,$E$13)</f>
        <v>533.96749999999997</v>
      </c>
      <c r="L24" s="41">
        <f ca="1">_xll.DBRW($C$9,$C$13,$D$13,$C24,L$15,$F$13,$G$13,$E$13)</f>
        <v>533.96749999999997</v>
      </c>
      <c r="M24" s="41">
        <f ca="1">_xll.DBRW($C$9,$C$13,$D$13,$C24,M$15,$F$13,$G$13,$E$13)</f>
        <v>575.96749999999997</v>
      </c>
      <c r="N24" s="41">
        <f ca="1">_xll.DBRW($C$9,$C$13,$D$13,$C24,N$15,$F$13,$G$13,$E$13)</f>
        <v>560.97250000000008</v>
      </c>
      <c r="O24" s="41">
        <f ca="1">_xll.DBRW($C$9,$C$13,$D$13,$C24,O$15,$F$13,$G$13,$E$13)</f>
        <v>578.96749999999997</v>
      </c>
      <c r="P24" s="41">
        <f ca="1">_xll.DBRW($C$9,$C$13,$D$13,$C24,P$15,$F$13,$G$13,$E$13)</f>
        <v>580.96749999999997</v>
      </c>
    </row>
    <row r="25" spans="1:16" x14ac:dyDescent="0.25">
      <c r="A25">
        <f ca="1">IF(_xll.TM1RPTELISCONSOLIDATED($C$16,$C25),IF(_xll.TM1RPTELLEV($C$16,$C25)&lt;=3,_xll.TM1RPTELLEV($C$16,$C25),"D"),"N")</f>
        <v>1</v>
      </c>
      <c r="C25" s="76" t="s">
        <v>39</v>
      </c>
      <c r="D25" s="74">
        <f ca="1">_xll.DBRW($C$9,$C$13,$D$13,$C25,D$15,$F$13,$G$13,$E$13)</f>
        <v>55570.590058348302</v>
      </c>
      <c r="E25" s="75">
        <f ca="1">_xll.DBRW($C$9,$C$13,$D$13,$C25,E$15,$F$13,$G$13,$E$13)</f>
        <v>5164.4775583482951</v>
      </c>
      <c r="F25" s="75">
        <f ca="1">_xll.DBRW($C$9,$C$13,$D$13,$C25,F$15,$F$13,$G$13,$E$13)</f>
        <v>4505.32</v>
      </c>
      <c r="G25" s="75">
        <f ca="1">_xll.DBRW($C$9,$C$13,$D$13,$C25,G$15,$F$13,$G$13,$E$13)</f>
        <v>4452.3149999999996</v>
      </c>
      <c r="H25" s="75">
        <f ca="1">_xll.DBRW($C$9,$C$13,$D$13,$C25,H$15,$F$13,$G$13,$E$13)</f>
        <v>3672.6350000000002</v>
      </c>
      <c r="I25" s="75">
        <f ca="1">_xll.DBRW($C$9,$C$13,$D$13,$C25,I$15,$F$13,$G$13,$E$13)</f>
        <v>3771.6225000000004</v>
      </c>
      <c r="J25" s="75">
        <f ca="1">_xll.DBRW($C$9,$C$13,$D$13,$C25,J$15,$F$13,$G$13,$E$13)</f>
        <v>4069.7599999999998</v>
      </c>
      <c r="K25" s="75">
        <f ca="1">_xll.DBRW($C$9,$C$13,$D$13,$C25,K$15,$F$13,$G$13,$E$13)</f>
        <v>4213.6049999999996</v>
      </c>
      <c r="L25" s="75">
        <f ca="1">_xll.DBRW($C$9,$C$13,$D$13,$C25,L$15,$F$13,$G$13,$E$13)</f>
        <v>4427.4974999999995</v>
      </c>
      <c r="M25" s="75">
        <f ca="1">_xll.DBRW($C$9,$C$13,$D$13,$C25,M$15,$F$13,$G$13,$E$13)</f>
        <v>4524.4850000000006</v>
      </c>
      <c r="N25" s="75">
        <f ca="1">_xll.DBRW($C$9,$C$13,$D$13,$C25,N$15,$F$13,$G$13,$E$13)</f>
        <v>5145.4674999999997</v>
      </c>
      <c r="O25" s="75">
        <f ca="1">_xll.DBRW($C$9,$C$13,$D$13,$C25,O$15,$F$13,$G$13,$E$13)</f>
        <v>5437.2725</v>
      </c>
      <c r="P25" s="75">
        <f ca="1">_xll.DBRW($C$9,$C$13,$D$13,$C25,P$15,$F$13,$G$13,$E$13)</f>
        <v>6186.1324999999997</v>
      </c>
    </row>
    <row r="26" spans="1:16" x14ac:dyDescent="0.25">
      <c r="A26">
        <f ca="1">IF(_xll.TM1RPTELISCONSOLIDATED($C$16,$C26),IF(_xll.TM1RPTELLEV($C$16,$C26)&lt;=3,_xll.TM1RPTELLEV($C$16,$C26),"D"),"N")</f>
        <v>2</v>
      </c>
      <c r="C26" s="84" t="s">
        <v>40</v>
      </c>
      <c r="D26" s="40">
        <f ca="1">_xll.DBRW($C$9,$C$13,$D$13,$C26,D$15,$F$13,$G$13,$E$13)</f>
        <v>26296.913819569119</v>
      </c>
      <c r="E26" s="41">
        <f ca="1">_xll.DBRW($C$9,$C$13,$D$13,$C26,E$15,$F$13,$G$13,$E$13)</f>
        <v>2488.6463195691204</v>
      </c>
      <c r="F26" s="41">
        <f ca="1">_xll.DBRW($C$9,$C$13,$D$13,$C26,F$15,$F$13,$G$13,$E$13)</f>
        <v>2241.6949999999997</v>
      </c>
      <c r="G26" s="41">
        <f ca="1">_xll.DBRW($C$9,$C$13,$D$13,$C26,G$15,$F$13,$G$13,$E$13)</f>
        <v>2244.7174999999997</v>
      </c>
      <c r="H26" s="41">
        <f ca="1">_xll.DBRW($C$9,$C$13,$D$13,$C26,H$15,$F$13,$G$13,$E$13)</f>
        <v>1763.8475000000001</v>
      </c>
      <c r="I26" s="41">
        <f ca="1">_xll.DBRW($C$9,$C$13,$D$13,$C26,I$15,$F$13,$G$13,$E$13)</f>
        <v>1810.8425</v>
      </c>
      <c r="J26" s="41">
        <f ca="1">_xll.DBRW($C$9,$C$13,$D$13,$C26,J$15,$F$13,$G$13,$E$13)</f>
        <v>1946.9</v>
      </c>
      <c r="K26" s="41">
        <f ca="1">_xll.DBRW($C$9,$C$13,$D$13,$C26,K$15,$F$13,$G$13,$E$13)</f>
        <v>1980.8199999999997</v>
      </c>
      <c r="L26" s="41">
        <f ca="1">_xll.DBRW($C$9,$C$13,$D$13,$C26,L$15,$F$13,$G$13,$E$13)</f>
        <v>1948.7649999999999</v>
      </c>
      <c r="M26" s="41">
        <f ca="1">_xll.DBRW($C$9,$C$13,$D$13,$C26,M$15,$F$13,$G$13,$E$13)</f>
        <v>1971.7649999999999</v>
      </c>
      <c r="N26" s="41">
        <f ca="1">_xll.DBRW($C$9,$C$13,$D$13,$C26,N$15,$F$13,$G$13,$E$13)</f>
        <v>2345.79</v>
      </c>
      <c r="O26" s="41">
        <f ca="1">_xll.DBRW($C$9,$C$13,$D$13,$C26,O$15,$F$13,$G$13,$E$13)</f>
        <v>2541.6075000000001</v>
      </c>
      <c r="P26" s="41">
        <f ca="1">_xll.DBRW($C$9,$C$13,$D$13,$C26,P$15,$F$13,$G$13,$E$13)</f>
        <v>3011.5174999999999</v>
      </c>
    </row>
    <row r="27" spans="1:16" x14ac:dyDescent="0.25">
      <c r="A27">
        <f ca="1">IF(_xll.TM1RPTELISCONSOLIDATED($C$16,$C27),IF(_xll.TM1RPTELLEV($C$16,$C27)&lt;=3,_xll.TM1RPTELLEV($C$16,$C27),"D"),"N")</f>
        <v>2</v>
      </c>
      <c r="C27" s="84" t="s">
        <v>41</v>
      </c>
      <c r="D27" s="40">
        <f ca="1">_xll.DBRW($C$9,$C$13,$D$13,$C27,D$15,$F$13,$G$13,$E$13)</f>
        <v>29273.676238779182</v>
      </c>
      <c r="E27" s="41">
        <f ca="1">_xll.DBRW($C$9,$C$13,$D$13,$C27,E$15,$F$13,$G$13,$E$13)</f>
        <v>2675.8312387791743</v>
      </c>
      <c r="F27" s="41">
        <f ca="1">_xll.DBRW($C$9,$C$13,$D$13,$C27,F$15,$F$13,$G$13,$E$13)</f>
        <v>2263.625</v>
      </c>
      <c r="G27" s="41">
        <f ca="1">_xll.DBRW($C$9,$C$13,$D$13,$C27,G$15,$F$13,$G$13,$E$13)</f>
        <v>2207.5974999999999</v>
      </c>
      <c r="H27" s="41">
        <f ca="1">_xll.DBRW($C$9,$C$13,$D$13,$C27,H$15,$F$13,$G$13,$E$13)</f>
        <v>1908.7875000000001</v>
      </c>
      <c r="I27" s="41">
        <f ca="1">_xll.DBRW($C$9,$C$13,$D$13,$C27,I$15,$F$13,$G$13,$E$13)</f>
        <v>1960.78</v>
      </c>
      <c r="J27" s="41">
        <f ca="1">_xll.DBRW($C$9,$C$13,$D$13,$C27,J$15,$F$13,$G$13,$E$13)</f>
        <v>2122.86</v>
      </c>
      <c r="K27" s="41">
        <f ca="1">_xll.DBRW($C$9,$C$13,$D$13,$C27,K$15,$F$13,$G$13,$E$13)</f>
        <v>2232.7849999999999</v>
      </c>
      <c r="L27" s="41">
        <f ca="1">_xll.DBRW($C$9,$C$13,$D$13,$C27,L$15,$F$13,$G$13,$E$13)</f>
        <v>2478.7325000000001</v>
      </c>
      <c r="M27" s="41">
        <f ca="1">_xll.DBRW($C$9,$C$13,$D$13,$C27,M$15,$F$13,$G$13,$E$13)</f>
        <v>2552.7200000000003</v>
      </c>
      <c r="N27" s="41">
        <f ca="1">_xll.DBRW($C$9,$C$13,$D$13,$C27,N$15,$F$13,$G$13,$E$13)</f>
        <v>2799.6774999999998</v>
      </c>
      <c r="O27" s="41">
        <f ca="1">_xll.DBRW($C$9,$C$13,$D$13,$C27,O$15,$F$13,$G$13,$E$13)</f>
        <v>2895.665</v>
      </c>
      <c r="P27" s="41">
        <f ca="1">_xll.DBRW($C$9,$C$13,$D$13,$C27,P$15,$F$13,$G$13,$E$13)</f>
        <v>3174.6149999999998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3"/>
  <sheetViews>
    <sheetView showGridLines="0" showRowColHeaders="0" topLeftCell="D5" workbookViewId="0"/>
  </sheetViews>
  <sheetFormatPr defaultRowHeight="33" customHeight="1" x14ac:dyDescent="0.25"/>
  <cols>
    <col min="1" max="1" width="3.140625" hidden="1" customWidth="1"/>
    <col min="2" max="2" width="5.28515625" hidden="1" customWidth="1"/>
    <col min="3" max="3" width="4.7109375" hidden="1" customWidth="1"/>
    <col min="4" max="4" width="1.28515625" customWidth="1"/>
    <col min="5" max="5" width="26.5703125" customWidth="1"/>
    <col min="6" max="6" width="22.140625" customWidth="1"/>
    <col min="7" max="7" width="4" customWidth="1"/>
    <col min="8" max="8" width="5.42578125" customWidth="1"/>
    <col min="9" max="9" width="24.28515625" customWidth="1"/>
    <col min="10" max="10" width="7.85546875" customWidth="1"/>
    <col min="11" max="11" width="12.28515625" customWidth="1"/>
    <col min="14" max="14" width="7.28515625" customWidth="1"/>
  </cols>
  <sheetData>
    <row r="1" spans="4:15" ht="33" hidden="1" customHeight="1" x14ac:dyDescent="0.25">
      <c r="E1" s="1" t="s">
        <v>1</v>
      </c>
      <c r="F1" t="str">
        <f ca="1">_xll.SUBNM("smartco:Year","All Members","Y2","Caption_Default")</f>
        <v>2015</v>
      </c>
      <c r="I1" t="s">
        <v>48</v>
      </c>
    </row>
    <row r="2" spans="4:15" ht="33" hidden="1" customHeight="1" x14ac:dyDescent="0.25">
      <c r="E2" s="1" t="s">
        <v>2</v>
      </c>
      <c r="F2" t="str">
        <f ca="1">_xll.SUBNM("smartco:Month","All Members","Year")</f>
        <v>Year</v>
      </c>
    </row>
    <row r="3" spans="4:15" ht="33" hidden="1" customHeight="1" x14ac:dyDescent="0.25">
      <c r="E3" s="21"/>
      <c r="F3" s="46"/>
      <c r="G3" s="18"/>
      <c r="H3" s="18"/>
      <c r="I3" s="18"/>
      <c r="J3" s="18"/>
      <c r="K3" s="18"/>
      <c r="L3" s="18"/>
      <c r="M3" s="18"/>
      <c r="N3" s="18"/>
      <c r="O3" s="18"/>
    </row>
    <row r="4" spans="4:15" ht="33" hidden="1" customHeight="1" x14ac:dyDescent="0.25"/>
    <row r="5" spans="4:15" ht="40.5" customHeight="1" x14ac:dyDescent="0.25">
      <c r="E5" s="47" t="s">
        <v>14</v>
      </c>
    </row>
    <row r="6" spans="4:15" ht="5.25" customHeight="1" x14ac:dyDescent="0.25"/>
    <row r="7" spans="4:15" ht="15" customHeight="1" x14ac:dyDescent="0.25">
      <c r="E7" s="87" t="s">
        <v>0</v>
      </c>
      <c r="F7" s="87"/>
      <c r="G7" s="36"/>
      <c r="H7" s="88" t="s">
        <v>7</v>
      </c>
      <c r="I7" s="89"/>
      <c r="J7" s="88" t="s">
        <v>18</v>
      </c>
      <c r="K7" s="89"/>
      <c r="L7" s="88" t="s">
        <v>46</v>
      </c>
      <c r="M7" s="89"/>
      <c r="N7" s="88" t="s">
        <v>47</v>
      </c>
      <c r="O7" s="87"/>
    </row>
    <row r="8" spans="4:15" ht="12.75" customHeight="1" x14ac:dyDescent="0.25">
      <c r="E8" s="85" t="str">
        <f ca="1">_xll.SUBNM("smartco:Plant","","Plant A","Caption")</f>
        <v>Smartco - Armonk</v>
      </c>
      <c r="F8" s="86"/>
      <c r="G8" s="48"/>
      <c r="H8" s="85" t="str">
        <f ca="1">_xll.SUBNM("smartco:product","","Product Total","Caption_Default")</f>
        <v>Product Total</v>
      </c>
      <c r="I8" s="86"/>
      <c r="J8" s="85" t="str">
        <f ca="1">_xll.SUBNM("smartco:Version","Current",_xll.DBR("smartco:Calendar","Current Version","String"),"Caption_Default")</f>
        <v>Budget</v>
      </c>
      <c r="K8" s="86"/>
      <c r="L8" s="85" t="str">
        <f ca="1">_xll.SUBNM("smartco:rate measure","Commodities","Silicon","Caption")</f>
        <v>Silicon</v>
      </c>
      <c r="M8" s="86"/>
      <c r="N8" s="93">
        <f ca="1">_xll.DBRW($I$1,$F$2,$E$8,$H$8,$L$8,$F$1,$J$8)</f>
        <v>3426.5964999999992</v>
      </c>
      <c r="O8" s="93"/>
    </row>
    <row r="9" spans="4:15" ht="33" hidden="1" customHeight="1" x14ac:dyDescent="0.25"/>
    <row r="10" spans="4:15" ht="33" hidden="1" customHeight="1" x14ac:dyDescent="0.25">
      <c r="E10" t="str">
        <f ca="1">_xll.VIEW("smartco:Revenue","!",$E$11,$E$17,$E$12,"!","!","!")</f>
        <v>smartco:Revenue</v>
      </c>
      <c r="F10" t="s">
        <v>13</v>
      </c>
    </row>
    <row r="11" spans="4:15" ht="33" hidden="1" customHeight="1" x14ac:dyDescent="0.25">
      <c r="E11" t="str">
        <f ca="1">_xll.SUBNM("smartco:Channel","Default","Channel Total","Caption_Default")</f>
        <v>Channel Total</v>
      </c>
    </row>
    <row r="12" spans="4:15" ht="33" hidden="1" customHeight="1" x14ac:dyDescent="0.25">
      <c r="E12" t="str">
        <f ca="1">_xll.SUBNM("smartco:Month","MY","Year")</f>
        <v>Year</v>
      </c>
    </row>
    <row r="13" spans="4:15" ht="33" hidden="1" customHeight="1" x14ac:dyDescent="0.25"/>
    <row r="14" spans="4:15" ht="21" customHeight="1" x14ac:dyDescent="0.25">
      <c r="E14" s="47" t="s">
        <v>15</v>
      </c>
    </row>
    <row r="15" spans="4:15" ht="2.25" customHeight="1" x14ac:dyDescent="0.25">
      <c r="E15" s="3"/>
    </row>
    <row r="16" spans="4:15" ht="15" customHeight="1" x14ac:dyDescent="0.25">
      <c r="D16" s="14"/>
      <c r="E16" s="36" t="s">
        <v>7</v>
      </c>
      <c r="F16" s="34" t="s">
        <v>18</v>
      </c>
      <c r="G16" s="35"/>
      <c r="H16" s="88" t="s">
        <v>42</v>
      </c>
      <c r="I16" s="89"/>
      <c r="J16" s="88" t="s">
        <v>1</v>
      </c>
      <c r="K16" s="87"/>
    </row>
    <row r="17" spans="3:16" ht="15" customHeight="1" x14ac:dyDescent="0.25">
      <c r="D17" s="14"/>
      <c r="E17" s="55" t="str">
        <f ca="1">_xll.SUBNM("smartco:product","Phones",9,"Caption_Default")</f>
        <v>4G 32Gb</v>
      </c>
      <c r="F17" s="55" t="str">
        <f ca="1">CurrentVersion</f>
        <v>Budget</v>
      </c>
      <c r="G17" s="55"/>
      <c r="H17" s="92" t="str">
        <f ca="1">_xll.SUBNM("smartco:Organization","All Members","Total Company","Caption_Default")</f>
        <v>Total Company</v>
      </c>
      <c r="I17" s="92"/>
      <c r="J17" s="92" t="str">
        <f ca="1">_xll.SUBNM("smartco:Year","All Members","Y2","Caption_Default")</f>
        <v>2015</v>
      </c>
      <c r="K17" s="92"/>
    </row>
    <row r="18" spans="3:16" ht="6" customHeight="1" thickBot="1" x14ac:dyDescent="0.3">
      <c r="D18" s="13"/>
      <c r="E18" s="63"/>
      <c r="F18" s="72"/>
      <c r="G18" s="10"/>
      <c r="H18" s="11"/>
      <c r="I18" s="73"/>
      <c r="J18" s="73"/>
      <c r="K18" s="73"/>
      <c r="L18" s="73"/>
      <c r="M18" s="73"/>
      <c r="N18" s="73"/>
      <c r="O18" s="73"/>
      <c r="P18" s="11"/>
    </row>
    <row r="19" spans="3:16" ht="19.5" customHeight="1" thickTop="1" x14ac:dyDescent="0.25">
      <c r="C19" s="26" t="s">
        <v>83</v>
      </c>
      <c r="D19" s="54" t="str">
        <f ca="1">_xll.DBRA("smartco:Revenue",C19,"Caption_Default")</f>
        <v>Volume - Units</v>
      </c>
      <c r="E19" s="71"/>
      <c r="F19" s="49">
        <f ca="1">_xll.DBRW($E$10,$H17,$E$11,$E$17,$E$12,$J17,$F17,$D19)</f>
        <v>35420.134868487534</v>
      </c>
      <c r="I19" s="11"/>
      <c r="J19" s="11"/>
      <c r="K19" s="11"/>
      <c r="L19" s="11"/>
      <c r="M19" s="90" t="s">
        <v>79</v>
      </c>
      <c r="N19" s="91"/>
      <c r="O19" s="91"/>
    </row>
    <row r="20" spans="3:16" ht="21" customHeight="1" x14ac:dyDescent="0.25">
      <c r="C20" s="20" t="s">
        <v>84</v>
      </c>
      <c r="D20" s="28"/>
      <c r="E20" s="79" t="str">
        <f ca="1">_xll.DBRA("smartco:Revenue",C20,"Caption_Default")</f>
        <v>Unit Net Sales Price</v>
      </c>
      <c r="F20" s="50">
        <f ca="1">_xll.DBRW($E$10,$H17,$E$11,$E$17,$E$12,$J17,$F17,$E20)</f>
        <v>468.95816036836874</v>
      </c>
    </row>
    <row r="21" spans="3:16" ht="21" customHeight="1" x14ac:dyDescent="0.25">
      <c r="C21" s="26" t="s">
        <v>8</v>
      </c>
      <c r="D21" s="17" t="str">
        <f ca="1">_xll.DBRA("smartco:Revenue",C21,"Caption_Default")</f>
        <v>Gross Revenue</v>
      </c>
      <c r="E21" s="52"/>
      <c r="F21" s="31">
        <f ca="1">_xll.DBRW($E$10,$H17,$E$11,$E$17,$E$12,$J17,$F17,$D21)</f>
        <v>16610561.287925426</v>
      </c>
    </row>
    <row r="22" spans="3:16" ht="21" customHeight="1" x14ac:dyDescent="0.25">
      <c r="C22" s="20" t="s">
        <v>85</v>
      </c>
      <c r="D22" s="29"/>
      <c r="E22" s="79" t="str">
        <f ca="1">_xll.DBRA("smartco:Revenue",C22,"Caption_Default")</f>
        <v>Unit Direct Cost</v>
      </c>
      <c r="F22" s="51">
        <f ca="1">_xll.DBRW($E$10,$H17,$E$11,$E$17,$E$12,$J17,$F17,$E22)</f>
        <v>208.2591300131381</v>
      </c>
    </row>
    <row r="23" spans="3:16" ht="21" customHeight="1" x14ac:dyDescent="0.25">
      <c r="C23" s="20" t="s">
        <v>87</v>
      </c>
      <c r="D23" s="29"/>
      <c r="E23" s="79" t="s">
        <v>11</v>
      </c>
      <c r="F23" s="49">
        <f ca="1">_xll.DBRW($F$10,H$17,$E$11,$E$17,$E$12,$J$17,$E23,$F$17)</f>
        <v>6156822.6731840698</v>
      </c>
    </row>
    <row r="24" spans="3:16" ht="21" customHeight="1" x14ac:dyDescent="0.25">
      <c r="C24" s="20" t="s">
        <v>87</v>
      </c>
      <c r="D24" s="29"/>
      <c r="E24" s="79" t="s">
        <v>12</v>
      </c>
      <c r="F24" s="49">
        <f ca="1">_xll.DBRW($F$10,H$17,$E$11,$E$17,$E$12,$J$17,$E24,$F$17)</f>
        <v>787743.79947516252</v>
      </c>
    </row>
    <row r="25" spans="3:16" ht="21" customHeight="1" x14ac:dyDescent="0.25">
      <c r="C25" s="20" t="s">
        <v>88</v>
      </c>
      <c r="D25" s="29"/>
      <c r="E25" s="79" t="str">
        <f ca="1">_xll.DBRA("smartco:Revenue",C25,"Caption_Default")</f>
        <v>Indirect COGS</v>
      </c>
      <c r="F25" s="49">
        <f ca="1">_xll.DBRW($E$10,H$17,$E$11,$E$17,$E$12,$J$17,$F$17,$E25)</f>
        <v>432000</v>
      </c>
    </row>
    <row r="26" spans="3:16" ht="21" customHeight="1" x14ac:dyDescent="0.25">
      <c r="C26" s="26" t="s">
        <v>86</v>
      </c>
      <c r="D26" s="30" t="str">
        <f ca="1">_xll.DBRA("smartco:Revenue",C26,"Caption_Default")</f>
        <v>Total Cost of Goods Sold</v>
      </c>
      <c r="E26" s="53"/>
      <c r="F26" s="31">
        <f ca="1">_xll.DBRW($E$10,$H17,$E$11,$E$17,$E$12,$J17,$F17,$D26)</f>
        <v>7376566.4726592321</v>
      </c>
    </row>
    <row r="27" spans="3:16" ht="21" customHeight="1" x14ac:dyDescent="0.25">
      <c r="C27" s="26" t="s">
        <v>9</v>
      </c>
      <c r="D27" s="30" t="str">
        <f ca="1">_xll.DBRA("smartco:Revenue",C27,"Caption_Default")</f>
        <v>Gross Margin</v>
      </c>
      <c r="E27" s="53"/>
      <c r="F27" s="31">
        <f ca="1">_xll.DBRW($E$10,$H17,$E$11,$E$17,$E$12,$J17,$F17,$D27)</f>
        <v>9233994.8152661938</v>
      </c>
    </row>
    <row r="28" spans="3:16" ht="21" customHeight="1" x14ac:dyDescent="0.25">
      <c r="C28" s="26" t="s">
        <v>10</v>
      </c>
      <c r="D28" s="30" t="str">
        <f ca="1">_xll.DBRA("smartco:Revenue",C28,"Caption_Default")</f>
        <v>Gross Margin %</v>
      </c>
      <c r="E28" s="53"/>
      <c r="F28" s="32">
        <f ca="1">_xll.DBRW($E$10,$H17,$E$11,$E$17,$E$12,$J17,$F17,$D28)/100</f>
        <v>0.55591106496675602</v>
      </c>
    </row>
    <row r="29" spans="3:16" ht="33" customHeight="1" x14ac:dyDescent="0.25">
      <c r="G29" s="12"/>
      <c r="H29" s="2"/>
      <c r="I29" s="2"/>
      <c r="J29" s="2"/>
      <c r="K29" s="2"/>
    </row>
    <row r="30" spans="3:16" ht="33" customHeight="1" x14ac:dyDescent="0.25">
      <c r="G30" s="12"/>
      <c r="H30" s="2"/>
      <c r="I30" s="2"/>
      <c r="J30" s="2"/>
      <c r="K30" s="2"/>
    </row>
    <row r="31" spans="3:16" ht="33" customHeight="1" x14ac:dyDescent="0.25">
      <c r="G31" s="12"/>
      <c r="H31" s="2"/>
      <c r="I31" s="2"/>
      <c r="J31" s="2"/>
      <c r="K31" s="2"/>
    </row>
    <row r="32" spans="3:16" ht="33" customHeight="1" x14ac:dyDescent="0.25">
      <c r="G32" s="15"/>
      <c r="H32" s="2"/>
      <c r="I32" s="2"/>
      <c r="J32" s="2"/>
      <c r="K32" s="2"/>
    </row>
    <row r="33" spans="7:11" ht="33" customHeight="1" x14ac:dyDescent="0.25">
      <c r="G33" s="2"/>
      <c r="H33" s="2"/>
      <c r="I33" s="2"/>
      <c r="J33" s="2"/>
      <c r="K33" s="2"/>
    </row>
  </sheetData>
  <mergeCells count="15">
    <mergeCell ref="E8:F8"/>
    <mergeCell ref="H8:I8"/>
    <mergeCell ref="E7:F7"/>
    <mergeCell ref="H7:I7"/>
    <mergeCell ref="M19:O19"/>
    <mergeCell ref="J17:K17"/>
    <mergeCell ref="H17:I17"/>
    <mergeCell ref="L7:M7"/>
    <mergeCell ref="L8:M8"/>
    <mergeCell ref="H16:I16"/>
    <mergeCell ref="J16:K16"/>
    <mergeCell ref="J7:K7"/>
    <mergeCell ref="J8:K8"/>
    <mergeCell ref="N7:O7"/>
    <mergeCell ref="N8:O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3"/>
  <sheetViews>
    <sheetView showGridLines="0" showRowColHeaders="0" topLeftCell="B13" workbookViewId="0">
      <selection activeCell="C32" sqref="C32"/>
    </sheetView>
  </sheetViews>
  <sheetFormatPr defaultRowHeight="15" x14ac:dyDescent="0.25"/>
  <cols>
    <col min="1" max="1" width="2.7109375" hidden="1" customWidth="1"/>
    <col min="2" max="2" width="1" customWidth="1"/>
    <col min="3" max="3" width="36" customWidth="1"/>
    <col min="4" max="4" width="27.5703125" customWidth="1"/>
  </cols>
  <sheetData>
    <row r="1" spans="1:7" hidden="1" x14ac:dyDescent="0.25">
      <c r="A1" t="s">
        <v>5</v>
      </c>
    </row>
    <row r="2" spans="1:7" hidden="1" x14ac:dyDescent="0.25">
      <c r="A2">
        <f>0</f>
        <v>0</v>
      </c>
      <c r="C2" s="37"/>
      <c r="D2" s="56"/>
    </row>
    <row r="3" spans="1:7" hidden="1" x14ac:dyDescent="0.25">
      <c r="A3">
        <f>1</f>
        <v>1</v>
      </c>
      <c r="C3" s="74"/>
      <c r="D3" s="78"/>
    </row>
    <row r="4" spans="1:7" hidden="1" x14ac:dyDescent="0.25">
      <c r="A4">
        <f>2</f>
        <v>2</v>
      </c>
      <c r="C4" s="39"/>
      <c r="D4" s="77"/>
    </row>
    <row r="5" spans="1:7" hidden="1" x14ac:dyDescent="0.25">
      <c r="A5">
        <f>3</f>
        <v>3</v>
      </c>
      <c r="C5" s="39"/>
      <c r="D5" s="77"/>
    </row>
    <row r="6" spans="1:7" hidden="1" x14ac:dyDescent="0.25">
      <c r="A6" t="s">
        <v>3</v>
      </c>
      <c r="C6" s="19"/>
      <c r="D6" s="57"/>
    </row>
    <row r="7" spans="1:7" hidden="1" x14ac:dyDescent="0.25">
      <c r="A7" t="s">
        <v>4</v>
      </c>
      <c r="C7" s="80"/>
      <c r="D7" s="77"/>
    </row>
    <row r="8" spans="1:7" hidden="1" x14ac:dyDescent="0.25">
      <c r="A8" t="s">
        <v>6</v>
      </c>
    </row>
    <row r="9" spans="1:7" hidden="1" x14ac:dyDescent="0.25">
      <c r="C9" t="str">
        <f ca="1">_xll.TM1RPTVIEW("smartco:Rate BOM:ARPT2", 1, _xll.TM1RPTTITLE("smartco:Month",$D$12), _xll.TM1RPTTITLE("smartco:product",$C$16), _xll.TM1RPTTITLE("smartco:Year",$D$11), _xll.TM1RPTTITLE("smartco:Version",$D$10),TM1RPTFMTRNG,TM1RPTFMTIDCOL)</f>
        <v>smartco:Rate BOM:ARPT2</v>
      </c>
    </row>
    <row r="10" spans="1:7" hidden="1" x14ac:dyDescent="0.25">
      <c r="C10" s="1" t="s">
        <v>18</v>
      </c>
      <c r="D10" t="str">
        <f ca="1">_xll.SUBNM("smartco:Version","Current",_xll.DBR("smartco:Calendar","Current Version","String"),"Caption_Default")</f>
        <v>Budget</v>
      </c>
    </row>
    <row r="11" spans="1:7" hidden="1" x14ac:dyDescent="0.25">
      <c r="C11" s="1" t="s">
        <v>1</v>
      </c>
      <c r="D11" t="str">
        <f ca="1">_xll.SUBNM("smartco:Year","Default","Y2","Caption_Default")</f>
        <v>2015</v>
      </c>
    </row>
    <row r="12" spans="1:7" hidden="1" x14ac:dyDescent="0.25">
      <c r="C12" s="1" t="s">
        <v>2</v>
      </c>
      <c r="D12" t="str">
        <f ca="1">_xll.SUBNM("smartco:Month","All Members","Year")</f>
        <v>Year</v>
      </c>
    </row>
    <row r="13" spans="1:7" ht="18.75" customHeight="1" x14ac:dyDescent="0.25">
      <c r="C13" s="94"/>
      <c r="D13" s="95"/>
      <c r="E13" s="18"/>
      <c r="F13" s="18"/>
      <c r="G13" s="18"/>
    </row>
    <row r="14" spans="1:7" ht="9" customHeight="1" x14ac:dyDescent="0.25">
      <c r="C14" s="21"/>
      <c r="D14" s="16"/>
      <c r="E14" s="18"/>
      <c r="F14" s="18"/>
      <c r="G14" s="18"/>
    </row>
    <row r="15" spans="1:7" x14ac:dyDescent="0.25">
      <c r="C15" s="60" t="s">
        <v>7</v>
      </c>
      <c r="D15" s="61" t="s">
        <v>0</v>
      </c>
    </row>
    <row r="16" spans="1:7" x14ac:dyDescent="0.25">
      <c r="C16" s="58" t="str">
        <f ca="1">_xll.SUBNM("smartco:product","Phones",9,"Caption_Default")</f>
        <v>4G 32Gb</v>
      </c>
      <c r="D16" s="59" t="s">
        <v>54</v>
      </c>
      <c r="E16" s="22"/>
    </row>
    <row r="17" spans="1:4" ht="9" customHeight="1" thickBot="1" x14ac:dyDescent="0.3">
      <c r="C17" s="73"/>
      <c r="D17" s="73"/>
    </row>
    <row r="18" spans="1:4" ht="15.75" thickTop="1" x14ac:dyDescent="0.25">
      <c r="A18">
        <f ca="1">IF(_xll.TM1RPTELISCONSOLIDATED($C$18,$C18),IF(_xll.TM1RPTELLEV($C$18,$C18)&lt;=3,_xll.TM1RPTELLEV($C$18,$C18),"D"),"N")</f>
        <v>0</v>
      </c>
      <c r="C18" s="44" t="str">
        <f ca="1">_xll.TM1RPTROW($C$9,"smartco:Rate Measure","",'{AR}01'!$B$18:$B$36,"Caption",0)</f>
        <v>Total Local BOM</v>
      </c>
      <c r="D18" s="56">
        <f ca="1">_xll.DBRW($C$9,$D$12,D$16,$C$16,$C18,$D$11,$D$10)</f>
        <v>2668.0919999999992</v>
      </c>
    </row>
    <row r="19" spans="1:4" x14ac:dyDescent="0.25">
      <c r="A19">
        <f ca="1">IF(_xll.TM1RPTELISCONSOLIDATED($C$18,$C19),IF(_xll.TM1RPTELLEV($C$18,$C19)&lt;=3,_xll.TM1RPTELLEV($C$18,$C19),"D"),"N")</f>
        <v>1</v>
      </c>
      <c r="C19" s="76" t="s">
        <v>56</v>
      </c>
      <c r="D19" s="78">
        <f ca="1">_xll.DBRW($C$9,$D$12,D$16,$C$16,$C19,$D$11,$D$10)</f>
        <v>1758.9719999999995</v>
      </c>
    </row>
    <row r="20" spans="1:4" x14ac:dyDescent="0.25">
      <c r="A20" t="str">
        <f ca="1">IF(_xll.TM1RPTELISCONSOLIDATED($C$18,$C20),IF(_xll.TM1RPTELLEV($C$18,$C20)&lt;=3,_xll.TM1RPTELLEV($C$18,$C20),"D"),"N")</f>
        <v>N</v>
      </c>
      <c r="C20" s="81" t="s">
        <v>57</v>
      </c>
      <c r="D20" s="77">
        <f ca="1">_xll.DBRW($C$9,$D$12,D$16,$C$16,$C20,$D$11,$D$10)</f>
        <v>302.28000000000003</v>
      </c>
    </row>
    <row r="21" spans="1:4" x14ac:dyDescent="0.25">
      <c r="A21" t="str">
        <f ca="1">IF(_xll.TM1RPTELISCONSOLIDATED($C$18,$C21),IF(_xll.TM1RPTELLEV($C$18,$C21)&lt;=3,_xll.TM1RPTELLEV($C$18,$C21),"D"),"N")</f>
        <v>N</v>
      </c>
      <c r="C21" s="81" t="s">
        <v>58</v>
      </c>
      <c r="D21" s="77">
        <f ca="1">_xll.DBRW($C$9,$D$12,D$16,$C$16,$C21,$D$11,$D$10)</f>
        <v>0.8400000000000003</v>
      </c>
    </row>
    <row r="22" spans="1:4" x14ac:dyDescent="0.25">
      <c r="A22" t="str">
        <f ca="1">IF(_xll.TM1RPTELISCONSOLIDATED($C$18,$C22),IF(_xll.TM1RPTELLEV($C$18,$C22)&lt;=3,_xll.TM1RPTELLEV($C$18,$C22),"D"),"N")</f>
        <v>N</v>
      </c>
      <c r="C22" s="81" t="s">
        <v>59</v>
      </c>
      <c r="D22" s="77">
        <f ca="1">_xll.DBRW($C$9,$D$12,D$16,$C$16,$C22,$D$11,$D$10)</f>
        <v>12</v>
      </c>
    </row>
    <row r="23" spans="1:4" x14ac:dyDescent="0.25">
      <c r="A23" t="str">
        <f ca="1">IF(_xll.TM1RPTELISCONSOLIDATED($C$18,$C23),IF(_xll.TM1RPTELLEV($C$18,$C23)&lt;=3,_xll.TM1RPTELLEV($C$18,$C23),"D"),"N")</f>
        <v>N</v>
      </c>
      <c r="C23" s="81" t="s">
        <v>61</v>
      </c>
      <c r="D23" s="77">
        <f ca="1">_xll.DBRW($C$9,$D$12,D$16,$C$16,$C23,$D$11,$D$10)</f>
        <v>1443.8519999999999</v>
      </c>
    </row>
    <row r="24" spans="1:4" x14ac:dyDescent="0.25">
      <c r="A24">
        <f ca="1">IF(_xll.TM1RPTELISCONSOLIDATED($C$18,$C24),IF(_xll.TM1RPTELLEV($C$18,$C24)&lt;=3,_xll.TM1RPTELLEV($C$18,$C24),"D"),"N")</f>
        <v>1</v>
      </c>
      <c r="C24" s="76" t="s">
        <v>63</v>
      </c>
      <c r="D24" s="78">
        <f ca="1">_xll.DBRW($C$9,$D$12,D$16,$C$16,$C24,$D$11,$D$10)</f>
        <v>642.2399999999999</v>
      </c>
    </row>
    <row r="25" spans="1:4" x14ac:dyDescent="0.25">
      <c r="A25" t="str">
        <f ca="1">IF(_xll.TM1RPTELISCONSOLIDATED($C$18,$C25),IF(_xll.TM1RPTELLEV($C$18,$C25)&lt;=3,_xll.TM1RPTELLEV($C$18,$C25),"D"),"N")</f>
        <v>N</v>
      </c>
      <c r="C25" s="81" t="s">
        <v>49</v>
      </c>
      <c r="D25" s="77">
        <f ca="1">_xll.DBRW($C$9,$D$12,D$16,$C$16,$C25,$D$11,$D$10)</f>
        <v>220.19999999999996</v>
      </c>
    </row>
    <row r="26" spans="1:4" x14ac:dyDescent="0.25">
      <c r="A26" t="str">
        <f ca="1">IF(_xll.TM1RPTELISCONSOLIDATED($C$18,$C26),IF(_xll.TM1RPTELLEV($C$18,$C26)&lt;=3,_xll.TM1RPTELLEV($C$18,$C26),"D"),"N")</f>
        <v>N</v>
      </c>
      <c r="C26" s="81" t="s">
        <v>50</v>
      </c>
      <c r="D26" s="77">
        <f ca="1">_xll.DBRW($C$9,$D$12,D$16,$C$16,$C26,$D$11,$D$10)</f>
        <v>302.28000000000003</v>
      </c>
    </row>
    <row r="27" spans="1:4" x14ac:dyDescent="0.25">
      <c r="A27" t="str">
        <f ca="1">IF(_xll.TM1RPTELISCONSOLIDATED($C$18,$C27),IF(_xll.TM1RPTELLEV($C$18,$C27)&lt;=3,_xll.TM1RPTELLEV($C$18,$C27),"D"),"N")</f>
        <v>N</v>
      </c>
      <c r="C27" s="81" t="s">
        <v>51</v>
      </c>
      <c r="D27" s="77">
        <f ca="1">_xll.DBRW($C$9,$D$12,D$16,$C$16,$C27,$D$11,$D$10)</f>
        <v>26.88000000000001</v>
      </c>
    </row>
    <row r="28" spans="1:4" x14ac:dyDescent="0.25">
      <c r="A28" t="str">
        <f ca="1">IF(_xll.TM1RPTELISCONSOLIDATED($C$18,$C28),IF(_xll.TM1RPTELLEV($C$18,$C28)&lt;=3,_xll.TM1RPTELLEV($C$18,$C28),"D"),"N")</f>
        <v>N</v>
      </c>
      <c r="C28" s="81" t="s">
        <v>52</v>
      </c>
      <c r="D28" s="77">
        <f ca="1">_xll.DBRW($C$9,$D$12,D$16,$C$16,$C28,$D$11,$D$10)</f>
        <v>9.9599999999999991</v>
      </c>
    </row>
    <row r="29" spans="1:4" x14ac:dyDescent="0.25">
      <c r="A29" t="str">
        <f ca="1">IF(_xll.TM1RPTELISCONSOLIDATED($C$18,$C29),IF(_xll.TM1RPTELLEV($C$18,$C29)&lt;=3,_xll.TM1RPTELLEV($C$18,$C29),"D"),"N")</f>
        <v>N</v>
      </c>
      <c r="C29" s="81" t="s">
        <v>65</v>
      </c>
      <c r="D29" s="77">
        <f ca="1">_xll.DBRW($C$9,$D$12,D$16,$C$16,$C29,$D$11,$D$10)</f>
        <v>52.080000000000013</v>
      </c>
    </row>
    <row r="30" spans="1:4" x14ac:dyDescent="0.25">
      <c r="A30" t="str">
        <f ca="1">IF(_xll.TM1RPTELISCONSOLIDATED($C$18,$C30),IF(_xll.TM1RPTELLEV($C$18,$C30)&lt;=3,_xll.TM1RPTELLEV($C$18,$C30),"D"),"N")</f>
        <v>N</v>
      </c>
      <c r="C30" s="81" t="s">
        <v>66</v>
      </c>
      <c r="D30" s="77">
        <f ca="1">_xll.DBRW($C$9,$D$12,D$16,$C$16,$C30,$D$11,$D$10)</f>
        <v>30</v>
      </c>
    </row>
    <row r="31" spans="1:4" x14ac:dyDescent="0.25">
      <c r="A31" t="str">
        <f ca="1">IF(_xll.TM1RPTELISCONSOLIDATED($C$18,$C31),IF(_xll.TM1RPTELLEV($C$18,$C31)&lt;=3,_xll.TM1RPTELLEV($C$18,$C31),"D"),"N")</f>
        <v>N</v>
      </c>
      <c r="C31" s="81" t="s">
        <v>67</v>
      </c>
      <c r="D31" s="77">
        <f ca="1">_xll.DBRW($C$9,$D$12,D$16,$C$16,$C31,$D$11,$D$10)</f>
        <v>0.8400000000000003</v>
      </c>
    </row>
    <row r="32" spans="1:4" x14ac:dyDescent="0.25">
      <c r="A32" t="str">
        <f ca="1">IF(_xll.TM1RPTELISCONSOLIDATED($C$18,$C32),IF(_xll.TM1RPTELLEV($C$18,$C32)&lt;=3,_xll.TM1RPTELLEV($C$18,$C32),"D"),"N")</f>
        <v>N</v>
      </c>
      <c r="C32" s="82" t="s">
        <v>68</v>
      </c>
      <c r="D32" s="77">
        <f ca="1">_xll.DBRW($C$9,$D$12,D$16,$C$16,$C32,$D$11,$D$10)</f>
        <v>266.88000000000005</v>
      </c>
    </row>
    <row r="33" spans="3:3" x14ac:dyDescent="0.25">
      <c r="C33" s="83"/>
    </row>
  </sheetData>
  <mergeCells count="1">
    <mergeCell ref="C13:D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showGridLines="0" showRowColHeaders="0" topLeftCell="B3" workbookViewId="0"/>
  </sheetViews>
  <sheetFormatPr defaultRowHeight="15" x14ac:dyDescent="0.25"/>
  <cols>
    <col min="1" max="1" width="25.5703125" hidden="1" customWidth="1"/>
    <col min="2" max="2" width="1.140625" customWidth="1"/>
    <col min="3" max="3" width="28.42578125" customWidth="1"/>
    <col min="4" max="8" width="14.85546875" customWidth="1"/>
    <col min="9" max="9" width="14.7109375" customWidth="1"/>
  </cols>
  <sheetData>
    <row r="1" spans="1:9" hidden="1" x14ac:dyDescent="0.25">
      <c r="A1" t="str">
        <f ca="1">_xll.VIEW("Smartco:Income Statement",$A$2,$C$6,$E$6,"!","!",$D$6)</f>
        <v>Smartco:Income Statement</v>
      </c>
    </row>
    <row r="2" spans="1:9" hidden="1" x14ac:dyDescent="0.25">
      <c r="A2" t="str">
        <f ca="1">_xll.SUBNM("Smartco:Currency Calc","Default","Local")</f>
        <v>Local</v>
      </c>
    </row>
    <row r="3" spans="1:9" ht="21.75" customHeight="1" x14ac:dyDescent="0.25">
      <c r="C3" s="21"/>
      <c r="D3" s="33"/>
      <c r="E3" s="18"/>
      <c r="F3" s="18"/>
      <c r="G3" s="18"/>
      <c r="H3" s="18"/>
      <c r="I3" s="18"/>
    </row>
    <row r="5" spans="1:9" x14ac:dyDescent="0.25">
      <c r="C5" s="4" t="s">
        <v>42</v>
      </c>
      <c r="D5" s="4" t="s">
        <v>18</v>
      </c>
      <c r="E5" s="27" t="s">
        <v>1</v>
      </c>
    </row>
    <row r="6" spans="1:9" x14ac:dyDescent="0.25">
      <c r="C6" s="62" t="str">
        <f ca="1">_xll.SUBNM("Smartco:organization","Workflow","Total Company")</f>
        <v>Total Company</v>
      </c>
      <c r="D6" s="62" t="str">
        <f ca="1">_xll.SUBNM("smartco:Version","Current",_xll.DBR("smartco:Calendar","Current Version","String"),"Caption_Default")</f>
        <v>Budget</v>
      </c>
      <c r="E6" s="62" t="str">
        <f ca="1">_xll.SUBNM("Smartco:Year","Default","2015","Caption_Default")</f>
        <v>2015</v>
      </c>
    </row>
    <row r="7" spans="1:9" ht="3.75" customHeight="1" x14ac:dyDescent="0.25"/>
    <row r="8" spans="1:9" ht="15.75" thickBot="1" x14ac:dyDescent="0.3">
      <c r="C8" s="63"/>
      <c r="D8" s="63"/>
      <c r="E8" s="63" t="s">
        <v>1</v>
      </c>
      <c r="F8" s="63" t="s">
        <v>69</v>
      </c>
      <c r="G8" s="63" t="s">
        <v>70</v>
      </c>
      <c r="H8" s="63" t="s">
        <v>71</v>
      </c>
      <c r="I8" s="63" t="s">
        <v>72</v>
      </c>
    </row>
    <row r="9" spans="1:9" ht="21" customHeight="1" thickTop="1" x14ac:dyDescent="0.25">
      <c r="A9" s="23" t="s">
        <v>73</v>
      </c>
      <c r="B9" s="23"/>
      <c r="C9" s="64" t="s">
        <v>8</v>
      </c>
      <c r="D9" s="24"/>
      <c r="E9" s="65">
        <f ca="1">_xll.DBRW($A$1,$A$2,$C$6,$E$6,$E8,$A9,$D$6)</f>
        <v>102838364.80394152</v>
      </c>
      <c r="F9" s="66">
        <f ca="1">_xll.DBRW($A$1,$A$2,$C$6,$E$6,$F8,$A9,$D$6)</f>
        <v>24803584.374984458</v>
      </c>
      <c r="G9" s="66">
        <f ca="1">_xll.DBRW($A$1,$A$2,$C$6,$E$6,$G8,$A9,$D$6)</f>
        <v>23009512.947745789</v>
      </c>
      <c r="H9" s="66">
        <f ca="1">_xll.DBRW($A$1,$A$2,$C$6,$E$6,$H8,$A9,$D$6)</f>
        <v>25305914.080119014</v>
      </c>
      <c r="I9" s="66">
        <f ca="1">_xll.DBRW($A$1,$A$2,$C$6,$E$6,$I8,$A9,$D$6)</f>
        <v>29719353.401092254</v>
      </c>
    </row>
    <row r="10" spans="1:9" ht="21" customHeight="1" x14ac:dyDescent="0.25">
      <c r="A10" s="23" t="s">
        <v>74</v>
      </c>
      <c r="B10" s="23"/>
      <c r="C10" s="64" t="s">
        <v>79</v>
      </c>
      <c r="D10" s="24"/>
      <c r="E10" s="65">
        <f ca="1">_xll.DBRW($A$1,$A$2,$C$6,$E$6,$E8,$A10,$D$6)</f>
        <v>54350707.372198291</v>
      </c>
      <c r="F10" s="66">
        <f ca="1">_xll.DBRW($A$1,$A$2,$C$6,$E$6,$F8,$A10,$D$6)</f>
        <v>13136647.131884731</v>
      </c>
      <c r="G10" s="66">
        <f ca="1">_xll.DBRW($A$1,$A$2,$C$6,$E$6,$G8,$A10,$D$6)</f>
        <v>12138895.430959435</v>
      </c>
      <c r="H10" s="66">
        <f ca="1">_xll.DBRW($A$1,$A$2,$C$6,$E$6,$H8,$A10,$D$6)</f>
        <v>13316586.324502431</v>
      </c>
      <c r="I10" s="66">
        <f ca="1">_xll.DBRW($A$1,$A$2,$C$6,$E$6,$I8,$A10,$D$6)</f>
        <v>15758578.484851707</v>
      </c>
    </row>
    <row r="11" spans="1:9" ht="23.25" customHeight="1" x14ac:dyDescent="0.25">
      <c r="A11" s="23" t="s">
        <v>9</v>
      </c>
      <c r="B11" s="23"/>
      <c r="C11" s="64" t="s">
        <v>9</v>
      </c>
      <c r="D11" s="24"/>
      <c r="E11" s="67">
        <f ca="1">_xll.DBRW($A$1,$A$2,$C$6,$E$6,$E8,$A11,$D$6)</f>
        <v>48487657.431743212</v>
      </c>
      <c r="F11" s="68">
        <f ca="1">_xll.DBRW($A$1,$A$2,$C$6,$E$6,$F8,$A11,$D$6)</f>
        <v>11666937.243099723</v>
      </c>
      <c r="G11" s="68">
        <f ca="1">_xll.DBRW($A$1,$A$2,$C$6,$E$6,$G8,$A11,$D$6)</f>
        <v>10870617.516786356</v>
      </c>
      <c r="H11" s="68">
        <f ca="1">_xll.DBRW($A$1,$A$2,$C$6,$E$6,$H8,$A11,$D$6)</f>
        <v>11989327.755616581</v>
      </c>
      <c r="I11" s="68">
        <f ca="1">_xll.DBRW($A$1,$A$2,$C$6,$E$6,$I8,$A11,$D$6)</f>
        <v>13960774.916240547</v>
      </c>
    </row>
    <row r="12" spans="1:9" ht="23.25" customHeight="1" x14ac:dyDescent="0.25">
      <c r="A12" s="23" t="s">
        <v>75</v>
      </c>
      <c r="B12" s="23"/>
      <c r="C12" s="64" t="s">
        <v>80</v>
      </c>
      <c r="D12" s="24"/>
      <c r="E12" s="65">
        <f ca="1">_xll.DBRW($A$1,$A$2,$C$6,$E$6,$E8,$A12,$D$6)</f>
        <v>14984880.951512568</v>
      </c>
      <c r="F12" s="66">
        <f ca="1">_xll.DBRW($A$1,$A$2,$C$6,$E$6,$F8,$A12,$D$6)</f>
        <v>3385823.5354796262</v>
      </c>
      <c r="G12" s="66">
        <f ca="1">_xll.DBRW($A$1,$A$2,$C$6,$E$6,$G8,$A12,$D$6)</f>
        <v>3402311.2187278471</v>
      </c>
      <c r="H12" s="66">
        <f ca="1">_xll.DBRW($A$1,$A$2,$C$6,$E$6,$H8,$A12,$D$6)</f>
        <v>3820911.6669903845</v>
      </c>
      <c r="I12" s="66">
        <f ca="1">_xll.DBRW($A$1,$A$2,$C$6,$E$6,$I8,$A12,$D$6)</f>
        <v>4375834.5303147119</v>
      </c>
    </row>
    <row r="13" spans="1:9" ht="24.75" customHeight="1" x14ac:dyDescent="0.25">
      <c r="A13" s="23" t="s">
        <v>76</v>
      </c>
      <c r="B13" s="23"/>
      <c r="C13" s="64" t="s">
        <v>76</v>
      </c>
      <c r="D13" s="24"/>
      <c r="E13" s="69">
        <f ca="1">_xll.DBRW($A$1,$A$2,$C$6,$E$6,$E8,$A13,$D$6)</f>
        <v>33502776.480230641</v>
      </c>
      <c r="F13" s="70">
        <f ca="1">_xll.DBRW($A$1,$A$2,$C$6,$E$6,$F8,$A13,$D$6)</f>
        <v>8281113.7076200992</v>
      </c>
      <c r="G13" s="70">
        <f ca="1">_xll.DBRW($A$1,$A$2,$C$6,$E$6,$G8,$A13,$D$6)</f>
        <v>7468306.2980585089</v>
      </c>
      <c r="H13" s="70">
        <f ca="1">_xll.DBRW($A$1,$A$2,$C$6,$E$6,$H8,$A13,$D$6)</f>
        <v>8168416.0886261966</v>
      </c>
      <c r="I13" s="70">
        <f ca="1">_xll.DBRW($A$1,$A$2,$C$6,$E$6,$I8,$A13,$D$6)</f>
        <v>9584940.385925835</v>
      </c>
    </row>
    <row r="14" spans="1:9" x14ac:dyDescent="0.25">
      <c r="C14" s="11"/>
      <c r="D14" s="11"/>
      <c r="E14" s="11"/>
      <c r="F14" s="11"/>
      <c r="G14" s="11"/>
      <c r="H14" s="11"/>
      <c r="I14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Report!F9:I9</xm:f>
              <xm:sqref>D9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Report!F10:I10</xm:f>
              <xm:sqref>D10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Report!F11:I11</xm:f>
              <xm:sqref>D11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Report!F12:I12</xm:f>
              <xm:sqref>D12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Report!F13:I13</xm:f>
              <xm:sqref>D13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5"/>
  <sheetViews>
    <sheetView showGridLines="0" showRowColHeaders="0" workbookViewId="0">
      <selection activeCell="O19" sqref="O19"/>
    </sheetView>
  </sheetViews>
  <sheetFormatPr defaultRowHeight="15" x14ac:dyDescent="0.25"/>
  <cols>
    <col min="1" max="1" width="16.85546875" bestFit="1" customWidth="1"/>
    <col min="2" max="13" width="13" customWidth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25"/>
      <c r="O2" s="25"/>
      <c r="P2" s="25"/>
      <c r="Q2" s="25"/>
      <c r="R2" s="25"/>
    </row>
    <row r="3" spans="1:18" x14ac:dyDescent="0.25">
      <c r="A3" s="7" t="str">
        <f ca="1">_xll.VIEW("smartco:Income Statement",$A$5,$A$6,$A$7,"!","!")</f>
        <v>smartco:Income Statement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5"/>
      <c r="O3" s="25"/>
      <c r="P3" s="25"/>
      <c r="Q3" s="25"/>
      <c r="R3" s="25"/>
    </row>
    <row r="4" spans="1:18" x14ac:dyDescent="0.25">
      <c r="A4" s="7" t="s">
        <v>82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8" x14ac:dyDescent="0.25">
      <c r="A5" s="7" t="str">
        <f ca="1">_xll.SUBNM("smartco:Metrics","Default","Net Profit")</f>
        <v>Net Profit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5"/>
      <c r="O5" s="25"/>
      <c r="P5" s="25"/>
      <c r="Q5" s="25"/>
      <c r="R5" s="25"/>
    </row>
    <row r="6" spans="1:18" x14ac:dyDescent="0.25">
      <c r="A6" s="7" t="str">
        <f ca="1">_xll.SUBNM("smartco:organization","Default","Total Company")</f>
        <v>Total Company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5"/>
      <c r="O6" s="25"/>
      <c r="P6" s="25"/>
      <c r="Q6" s="25"/>
      <c r="R6" s="25"/>
    </row>
    <row r="7" spans="1:18" x14ac:dyDescent="0.25">
      <c r="A7" s="7" t="str">
        <f ca="1">_xll.SUBNM("smartco:Year","Default","Y2","Caption_Default")</f>
        <v>2015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5"/>
      <c r="O7" s="25"/>
      <c r="P7" s="25"/>
      <c r="Q7" s="25"/>
      <c r="R7" s="25"/>
    </row>
    <row r="8" spans="1:18" x14ac:dyDescent="0.25">
      <c r="A8" s="7"/>
      <c r="B8" s="7" t="s">
        <v>43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5"/>
      <c r="O8" s="25"/>
      <c r="P8" s="25"/>
      <c r="Q8" s="25"/>
      <c r="R8" s="25"/>
    </row>
    <row r="9" spans="1:18" x14ac:dyDescent="0.25">
      <c r="A9" s="7"/>
      <c r="B9" s="8" t="s">
        <v>19</v>
      </c>
      <c r="C9" s="8" t="s">
        <v>20</v>
      </c>
      <c r="D9" s="8" t="s">
        <v>21</v>
      </c>
      <c r="E9" s="8" t="s">
        <v>22</v>
      </c>
      <c r="F9" s="8" t="s">
        <v>23</v>
      </c>
      <c r="G9" s="8" t="s">
        <v>24</v>
      </c>
      <c r="H9" s="8" t="s">
        <v>25</v>
      </c>
      <c r="I9" s="8" t="s">
        <v>26</v>
      </c>
      <c r="J9" s="8" t="s">
        <v>27</v>
      </c>
      <c r="K9" s="8" t="s">
        <v>28</v>
      </c>
      <c r="L9" s="8" t="s">
        <v>29</v>
      </c>
      <c r="M9" s="8" t="s">
        <v>30</v>
      </c>
      <c r="N9" s="25"/>
      <c r="O9" s="25"/>
      <c r="P9" s="25"/>
      <c r="Q9" s="25"/>
      <c r="R9" s="25"/>
    </row>
    <row r="10" spans="1:18" x14ac:dyDescent="0.25">
      <c r="A10" s="8" t="s">
        <v>44</v>
      </c>
      <c r="B10" s="9">
        <f ca="1">_xll.DBRW($A$3,$A$4,$A$6,$A$7,B$9,$A$5,$A10)</f>
        <v>1222377.8366479597</v>
      </c>
      <c r="C10" s="9">
        <f ca="1">_xll.DBRW($A$3,$A$4,$A$6,$A$7,C$9,$A$5,$A10)</f>
        <v>1283134.748974297</v>
      </c>
      <c r="D10" s="9">
        <f ca="1">_xll.DBRW($A$3,$A$4,$A$6,$A$7,D$9,$A$5,$A10)</f>
        <v>1295974.7669741979</v>
      </c>
      <c r="E10" s="9">
        <f ca="1">_xll.DBRW($A$3,$A$4,$A$6,$A$7,E$9,$A$5,$A10)</f>
        <v>1320365.7013157406</v>
      </c>
      <c r="F10" s="9">
        <f ca="1">_xll.DBRW($A$3,$A$4,$A$6,$A$7,F$9,$A$5,$A10)</f>
        <v>1209332.0764988046</v>
      </c>
      <c r="G10" s="9">
        <f ca="1">_xll.DBRW($A$3,$A$4,$A$6,$A$7,G$9,$A$5,$A10)</f>
        <v>1157783.2032311948</v>
      </c>
      <c r="H10" s="9">
        <f ca="1">_xll.DBRW($A$3,$A$4,$A$6,$A$7,H$9,$A$5,$A10)</f>
        <v>1159609.4211129991</v>
      </c>
      <c r="I10" s="9">
        <f ca="1">_xll.DBRW($A$3,$A$4,$A$6,$A$7,I$9,$A$5,$A10)</f>
        <v>1172221.5366209261</v>
      </c>
      <c r="J10" s="9">
        <f ca="1">_xll.DBRW($A$3,$A$4,$A$6,$A$7,J$9,$A$5,$A10)</f>
        <v>1023302.2082475515</v>
      </c>
      <c r="K10" s="9">
        <f ca="1">_xll.DBRW($A$3,$A$4,$A$6,$A$7,K$9,$A$5,$A10)</f>
        <v>1200995.713240081</v>
      </c>
      <c r="L10" s="9">
        <f ca="1">_xll.DBRW($A$3,$A$4,$A$6,$A$7,L$9,$A$5,$A10)</f>
        <v>1347097.0251075942</v>
      </c>
      <c r="M10" s="9">
        <f ca="1">_xll.DBRW($A$3,$A$4,$A$6,$A$7,M$9,$A$5,$A10)</f>
        <v>1544093.2741461475</v>
      </c>
      <c r="N10" s="25"/>
      <c r="O10" s="25"/>
      <c r="P10" s="25"/>
      <c r="Q10" s="25"/>
      <c r="R10" s="25"/>
    </row>
    <row r="11" spans="1:18" x14ac:dyDescent="0.25">
      <c r="A11" s="8" t="str">
        <f ca="1">_xll.DBR("smartco:Calendar","Current Version","String")</f>
        <v>Version1</v>
      </c>
      <c r="B11" s="9">
        <f ca="1">_xll.DBRW($A$3,$A$4,$A$6,$A$7,B$9,$A$5,$A11)</f>
        <v>3100508.6925407625</v>
      </c>
      <c r="C11" s="9">
        <f ca="1">_xll.DBRW($A$3,$A$4,$A$6,$A$7,C$9,$A$5,$A11)</f>
        <v>2660120.2722748993</v>
      </c>
      <c r="D11" s="9">
        <f ca="1">_xll.DBRW($A$3,$A$4,$A$6,$A$7,D$9,$A$5,$A11)</f>
        <v>2520484.7428044374</v>
      </c>
      <c r="E11" s="9">
        <f ca="1">_xll.DBRW($A$3,$A$4,$A$6,$A$7,E$9,$A$5,$A11)</f>
        <v>2473656.21863577</v>
      </c>
      <c r="F11" s="9">
        <f ca="1">_xll.DBRW($A$3,$A$4,$A$6,$A$7,F$9,$A$5,$A11)</f>
        <v>2519068.9626356224</v>
      </c>
      <c r="G11" s="9">
        <f ca="1">_xll.DBRW($A$3,$A$4,$A$6,$A$7,G$9,$A$5,$A11)</f>
        <v>2475581.1167871156</v>
      </c>
      <c r="H11" s="9">
        <f ca="1">_xll.DBRW($A$3,$A$4,$A$6,$A$7,H$9,$A$5,$A11)</f>
        <v>2662728.7764022537</v>
      </c>
      <c r="I11" s="9">
        <f ca="1">_xll.DBRW($A$3,$A$4,$A$6,$A$7,I$9,$A$5,$A11)</f>
        <v>2857484.5395644591</v>
      </c>
      <c r="J11" s="9">
        <f ca="1">_xll.DBRW($A$3,$A$4,$A$6,$A$7,J$9,$A$5,$A11)</f>
        <v>2648202.7726594838</v>
      </c>
      <c r="K11" s="9">
        <f ca="1">_xll.DBRW($A$3,$A$4,$A$6,$A$7,K$9,$A$5,$A11)</f>
        <v>2947720.2691876022</v>
      </c>
      <c r="L11" s="9">
        <f ca="1">_xll.DBRW($A$3,$A$4,$A$6,$A$7,L$9,$A$5,$A11)</f>
        <v>3279898.7924250076</v>
      </c>
      <c r="M11" s="9">
        <f ca="1">_xll.DBRW($A$3,$A$4,$A$6,$A$7,M$9,$A$5,$A11)</f>
        <v>3357321.3243132252</v>
      </c>
      <c r="N11" s="25"/>
      <c r="O11" s="25"/>
      <c r="P11" s="25"/>
      <c r="Q11" s="25"/>
      <c r="R11" s="25"/>
    </row>
    <row r="12" spans="1:18" x14ac:dyDescent="0.25">
      <c r="A12" s="8" t="s">
        <v>81</v>
      </c>
      <c r="B12" s="9">
        <f ca="1">_xll.DBRW($A$3,$A$4,$A$6,$A$7,B$9,$A$5,$A12)</f>
        <v>1738359.6395019521</v>
      </c>
      <c r="C12" s="9">
        <f ca="1">_xll.DBRW($A$3,$A$4,$A$6,$A$7,C$9,$A$5,$A12)</f>
        <v>1738593.2011450478</v>
      </c>
      <c r="D12" s="9">
        <f ca="1">_xll.DBRW($A$3,$A$4,$A$6,$A$7,D$9,$A$5,$A12)</f>
        <v>1700699.7915893148</v>
      </c>
      <c r="E12" s="9">
        <f ca="1">_xll.DBRW($A$3,$A$4,$A$6,$A$7,E$9,$A$5,$A12)</f>
        <v>1739643.705321935</v>
      </c>
      <c r="F12" s="9">
        <f ca="1">_xll.DBRW($A$3,$A$4,$A$6,$A$7,F$9,$A$5,$A12)</f>
        <v>1660681.6422800105</v>
      </c>
      <c r="G12" s="9">
        <f ca="1">_xll.DBRW($A$3,$A$4,$A$6,$A$7,G$9,$A$5,$A12)</f>
        <v>1554788.0588014727</v>
      </c>
      <c r="H12" s="9">
        <f ca="1">_xll.DBRW($A$3,$A$4,$A$6,$A$7,H$9,$A$5,$A12)</f>
        <v>1725357.4313241227</v>
      </c>
      <c r="I12" s="9">
        <f ca="1">_xll.DBRW($A$3,$A$4,$A$6,$A$7,I$9,$A$5,$A12)</f>
        <v>1573640.8297711373</v>
      </c>
      <c r="J12" s="9">
        <f ca="1">_xll.DBRW($A$3,$A$4,$A$6,$A$7,J$9,$A$5,$A12)</f>
        <v>1903379.0865446797</v>
      </c>
      <c r="K12" s="9">
        <f ca="1">_xll.DBRW($A$3,$A$4,$A$6,$A$7,K$9,$A$5,$A12)</f>
        <v>1909781.2572638402</v>
      </c>
      <c r="L12" s="9">
        <f ca="1">_xll.DBRW($A$3,$A$4,$A$6,$A$7,L$9,$A$5,$A12)</f>
        <v>2329674.4747288697</v>
      </c>
      <c r="M12" s="9">
        <f ca="1">_xll.DBRW($A$3,$A$4,$A$6,$A$7,M$9,$A$5,$A12)</f>
        <v>1905783.5583308628</v>
      </c>
      <c r="N12" s="25"/>
      <c r="O12" s="25"/>
      <c r="P12" s="25"/>
      <c r="Q12" s="25"/>
      <c r="R12" s="25"/>
    </row>
    <row r="13" spans="1:18" x14ac:dyDescent="0.25">
      <c r="A13" s="8" t="s">
        <v>45</v>
      </c>
      <c r="B13" s="9">
        <f ca="1">_xll.DBRW($A$3,$A$4,$A$6,$A$7,B$9,$A$5,$A13)</f>
        <v>1222377.8366479597</v>
      </c>
      <c r="C13" s="9">
        <f ca="1">_xll.DBRW($A$3,$A$4,$A$6,$A$7,C$9,$A$5,$A13)</f>
        <v>1283134.748974297</v>
      </c>
      <c r="D13" s="9">
        <f ca="1">_xll.DBRW($A$3,$A$4,$A$6,$A$7,D$9,$A$5,$A13)</f>
        <v>1295974.7669741979</v>
      </c>
      <c r="E13" s="9">
        <f ca="1">_xll.DBRW($A$3,$A$4,$A$6,$A$7,E$9,$A$5,$A13)</f>
        <v>1320365.7013157406</v>
      </c>
      <c r="F13" s="9">
        <f ca="1">_xll.DBRW($A$3,$A$4,$A$6,$A$7,F$9,$A$5,$A13)</f>
        <v>1209332.0764988046</v>
      </c>
      <c r="G13" s="9">
        <f ca="1">_xll.DBRW($A$3,$A$4,$A$6,$A$7,G$9,$A$5,$A13)</f>
        <v>1157783.2032311948</v>
      </c>
      <c r="H13" s="9">
        <f ca="1">_xll.DBRW($A$3,$A$4,$A$6,$A$7,H$9,$A$5,$A13)</f>
        <v>1159609.4211129991</v>
      </c>
      <c r="I13" s="9">
        <f ca="1">_xll.DBRW($A$3,$A$4,$A$6,$A$7,I$9,$A$5,$A13)</f>
        <v>1172221.5366209261</v>
      </c>
      <c r="J13" s="9">
        <f ca="1">_xll.DBRW($A$3,$A$4,$A$6,$A$7,J$9,$A$5,$A13)</f>
        <v>1023302.2082475515</v>
      </c>
      <c r="K13" s="9">
        <f ca="1">_xll.DBRW($A$3,$A$4,$A$6,$A$7,K$9,$A$5,$A13)</f>
        <v>2088701.9080273672</v>
      </c>
      <c r="L13" s="9">
        <f ca="1">_xll.DBRW($A$3,$A$4,$A$6,$A$7,L$9,$A$5,$A13)</f>
        <v>2035673.575546677</v>
      </c>
      <c r="M13" s="9">
        <f ca="1">_xll.DBRW($A$3,$A$4,$A$6,$A$7,M$9,$A$5,$A13)</f>
        <v>2028281.9383207471</v>
      </c>
      <c r="N13" s="25"/>
      <c r="O13" s="25"/>
      <c r="P13" s="25"/>
      <c r="Q13" s="25"/>
      <c r="R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8:B36"/>
  <sheetViews>
    <sheetView workbookViewId="0"/>
  </sheetViews>
  <sheetFormatPr defaultRowHeight="15" x14ac:dyDescent="0.25"/>
  <sheetData>
    <row r="18" spans="2:2" x14ac:dyDescent="0.25">
      <c r="B18" t="s">
        <v>55</v>
      </c>
    </row>
    <row r="19" spans="2:2" x14ac:dyDescent="0.25">
      <c r="B19" t="s">
        <v>56</v>
      </c>
    </row>
    <row r="20" spans="2:2" x14ac:dyDescent="0.25">
      <c r="B20" t="s">
        <v>57</v>
      </c>
    </row>
    <row r="21" spans="2:2" x14ac:dyDescent="0.25">
      <c r="B21" t="s">
        <v>58</v>
      </c>
    </row>
    <row r="22" spans="2:2" x14ac:dyDescent="0.25">
      <c r="B22" t="s">
        <v>59</v>
      </c>
    </row>
    <row r="23" spans="2:2" x14ac:dyDescent="0.25">
      <c r="B23" t="s">
        <v>60</v>
      </c>
    </row>
    <row r="24" spans="2:2" x14ac:dyDescent="0.25">
      <c r="B24" t="s">
        <v>61</v>
      </c>
    </row>
    <row r="25" spans="2:2" x14ac:dyDescent="0.25">
      <c r="B25" t="s">
        <v>53</v>
      </c>
    </row>
    <row r="26" spans="2:2" x14ac:dyDescent="0.25">
      <c r="B26" t="s">
        <v>62</v>
      </c>
    </row>
    <row r="27" spans="2:2" x14ac:dyDescent="0.25">
      <c r="B27" t="s">
        <v>63</v>
      </c>
    </row>
    <row r="28" spans="2:2" x14ac:dyDescent="0.25">
      <c r="B28" t="s">
        <v>49</v>
      </c>
    </row>
    <row r="29" spans="2:2" x14ac:dyDescent="0.25">
      <c r="B29" t="s">
        <v>64</v>
      </c>
    </row>
    <row r="30" spans="2:2" x14ac:dyDescent="0.25">
      <c r="B30" t="s">
        <v>50</v>
      </c>
    </row>
    <row r="31" spans="2:2" x14ac:dyDescent="0.25">
      <c r="B31" t="s">
        <v>51</v>
      </c>
    </row>
    <row r="32" spans="2:2" x14ac:dyDescent="0.25">
      <c r="B32" t="s">
        <v>52</v>
      </c>
    </row>
    <row r="33" spans="2:2" x14ac:dyDescent="0.25">
      <c r="B33" t="s">
        <v>65</v>
      </c>
    </row>
    <row r="34" spans="2:2" x14ac:dyDescent="0.25">
      <c r="B34" t="s">
        <v>66</v>
      </c>
    </row>
    <row r="35" spans="2:2" x14ac:dyDescent="0.25">
      <c r="B35" t="s">
        <v>67</v>
      </c>
    </row>
    <row r="36" spans="2:2" x14ac:dyDescent="0.25">
      <c r="B36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8:B24"/>
  <sheetViews>
    <sheetView workbookViewId="0"/>
  </sheetViews>
  <sheetFormatPr defaultRowHeight="15" x14ac:dyDescent="0.25"/>
  <sheetData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9</v>
      </c>
    </row>
    <row r="21" spans="2:2" x14ac:dyDescent="0.25">
      <c r="B21" t="s">
        <v>75</v>
      </c>
    </row>
    <row r="22" spans="2:2" x14ac:dyDescent="0.25">
      <c r="B22" t="s">
        <v>76</v>
      </c>
    </row>
    <row r="23" spans="2:2" x14ac:dyDescent="0.25">
      <c r="B23" t="s">
        <v>77</v>
      </c>
    </row>
    <row r="24" spans="2:2" x14ac:dyDescent="0.25">
      <c r="B2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Demand Plan</vt:lpstr>
      <vt:lpstr>Operations Console</vt:lpstr>
      <vt:lpstr>Bill of Material Master</vt:lpstr>
      <vt:lpstr>Report</vt:lpstr>
      <vt:lpstr>Performance Scorecard</vt:lpstr>
      <vt:lpstr>{AR}01</vt:lpstr>
      <vt:lpstr>{AR}11</vt:lpstr>
      <vt:lpstr>CurrentVersion</vt:lpstr>
      <vt:lpstr>'Demand Plan'!TM1RPTDATARNGARPT1</vt:lpstr>
      <vt:lpstr>'Bill of Material Master'!TM1RPTDATARNGARPT2</vt:lpstr>
      <vt:lpstr>'Bill of Material Master'!TM1RPTFMTIDCOL</vt:lpstr>
      <vt:lpstr>'Demand Plan'!TM1RPTFMTIDCOL</vt:lpstr>
      <vt:lpstr>'Bill of Material Master'!TM1RPTFMTRNG</vt:lpstr>
      <vt:lpstr>'Demand Plan'!TM1RPTFMTRNG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NetworkLayer</cp:lastModifiedBy>
  <dcterms:created xsi:type="dcterms:W3CDTF">2014-05-06T22:20:04Z</dcterms:created>
  <dcterms:modified xsi:type="dcterms:W3CDTF">2016-04-18T00:42:07Z</dcterms:modified>
</cp:coreProperties>
</file>