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eonardo_vasconcelos_fgv_br/Documents/3_Gerenciamento de Cronograma e Custos/"/>
    </mc:Choice>
  </mc:AlternateContent>
  <xr:revisionPtr revIDLastSave="0" documentId="14_{372E27B3-C3F1-4444-8E57-75B313B51C10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QUESTAO 1" sheetId="12" r:id="rId1"/>
    <sheet name="QUESTAO 2" sheetId="15" r:id="rId2"/>
    <sheet name="QUESTAO 3" sheetId="5" r:id="rId3"/>
    <sheet name="QUESTAO 5_1" sheetId="8" state="hidden" r:id="rId4"/>
    <sheet name="1.3 (2)" sheetId="7" state="hidden" r:id="rId5"/>
    <sheet name="QUESTAO 4" sheetId="11" r:id="rId6"/>
    <sheet name="QUESTAO 5" sheetId="1" r:id="rId7"/>
    <sheet name="QUESTAO 6" sheetId="2" r:id="rId8"/>
    <sheet name="QUESTAO 7" sheetId="13" r:id="rId9"/>
    <sheet name="1.4 (2)" sheetId="6" state="hidden" r:id="rId10"/>
    <sheet name="QUESTAO 8" sheetId="3" r:id="rId11"/>
    <sheet name="QUESTAO 9" sheetId="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3" l="1"/>
  <c r="F11" i="13"/>
  <c r="E11" i="13"/>
  <c r="D11" i="13"/>
  <c r="G10" i="13"/>
  <c r="F10" i="13"/>
  <c r="E10" i="13"/>
  <c r="D10" i="13"/>
  <c r="C11" i="13"/>
  <c r="C10" i="13"/>
  <c r="G8" i="13"/>
  <c r="F8" i="13"/>
  <c r="E8" i="13"/>
  <c r="D8" i="13"/>
  <c r="G7" i="13"/>
  <c r="F7" i="13"/>
  <c r="E7" i="13"/>
  <c r="D7" i="13"/>
  <c r="C8" i="13"/>
  <c r="C7" i="13"/>
  <c r="G11" i="2"/>
  <c r="F11" i="2"/>
  <c r="E11" i="2"/>
  <c r="D11" i="2"/>
  <c r="C11" i="2"/>
  <c r="G10" i="2"/>
  <c r="F10" i="2"/>
  <c r="E10" i="2"/>
  <c r="D10" i="2"/>
  <c r="C10" i="2"/>
  <c r="G8" i="2"/>
  <c r="F8" i="2"/>
  <c r="E8" i="2"/>
  <c r="C8" i="2"/>
  <c r="D8" i="2"/>
  <c r="G7" i="2"/>
  <c r="F7" i="2"/>
  <c r="E7" i="2"/>
  <c r="C7" i="2"/>
  <c r="D7" i="2"/>
  <c r="C8" i="1"/>
  <c r="C11" i="1"/>
  <c r="G11" i="1"/>
  <c r="F11" i="1"/>
  <c r="E11" i="1"/>
  <c r="D11" i="1"/>
  <c r="G10" i="1"/>
  <c r="F10" i="1"/>
  <c r="E10" i="1"/>
  <c r="D10" i="1"/>
  <c r="C10" i="1"/>
  <c r="G8" i="1"/>
  <c r="F8" i="1"/>
  <c r="E8" i="1"/>
  <c r="D8" i="1"/>
  <c r="C7" i="1"/>
  <c r="G7" i="1"/>
  <c r="F7" i="1"/>
  <c r="E7" i="1"/>
  <c r="D7" i="1"/>
  <c r="E14" i="12" l="1"/>
  <c r="E16" i="12" s="1"/>
  <c r="D14" i="12"/>
  <c r="D16" i="12" s="1"/>
  <c r="C16" i="12"/>
  <c r="E15" i="12"/>
  <c r="D15" i="12"/>
  <c r="C15" i="12"/>
  <c r="C14" i="12"/>
  <c r="C6" i="1"/>
  <c r="C5" i="1"/>
  <c r="C4" i="1"/>
  <c r="C9" i="11"/>
  <c r="C8" i="11"/>
  <c r="C7" i="11"/>
  <c r="C6" i="11"/>
  <c r="H24" i="4" l="1"/>
  <c r="D5" i="5" l="1"/>
  <c r="E6" i="5"/>
  <c r="F7" i="5"/>
  <c r="G8" i="5"/>
  <c r="H9" i="5"/>
  <c r="D10" i="5"/>
  <c r="E10" i="5"/>
  <c r="F10" i="5"/>
  <c r="G10" i="5"/>
  <c r="H10" i="5"/>
  <c r="D11" i="5"/>
  <c r="E11" i="5"/>
  <c r="F11" i="5"/>
  <c r="G11" i="5"/>
  <c r="H11" i="5"/>
  <c r="D17" i="3" l="1"/>
  <c r="F15" i="3"/>
  <c r="F14" i="3"/>
  <c r="F17" i="3" s="1"/>
  <c r="E17" i="3"/>
  <c r="J8" i="3"/>
  <c r="I8" i="3"/>
  <c r="H8" i="3"/>
  <c r="F8" i="3"/>
  <c r="E8" i="3"/>
  <c r="D8" i="3"/>
  <c r="C8" i="3"/>
  <c r="C9" i="3" s="1"/>
  <c r="D9" i="3" s="1"/>
  <c r="E9" i="3" s="1"/>
  <c r="F9" i="3" l="1"/>
  <c r="H9" i="3" s="1"/>
  <c r="I9" i="3" s="1"/>
  <c r="F14" i="4"/>
  <c r="F13" i="4"/>
  <c r="I23" i="4" l="1"/>
  <c r="H23" i="4"/>
  <c r="J24" i="3"/>
  <c r="I24" i="3"/>
  <c r="H12" i="5" l="1"/>
  <c r="G12" i="5"/>
  <c r="F12" i="5"/>
  <c r="E12" i="5"/>
  <c r="D12" i="5"/>
  <c r="D13" i="5" s="1"/>
  <c r="E13" i="5" l="1"/>
  <c r="F13" i="5" s="1"/>
  <c r="G13" i="5" s="1"/>
  <c r="H13" i="5" s="1"/>
  <c r="C6" i="2" l="1"/>
  <c r="C4" i="2"/>
  <c r="F19" i="15" l="1"/>
  <c r="F17" i="15"/>
  <c r="F16" i="15"/>
  <c r="F12" i="15"/>
  <c r="F11" i="15"/>
  <c r="F10" i="15"/>
  <c r="F9" i="15"/>
  <c r="F5" i="15"/>
  <c r="F4" i="15"/>
  <c r="F3" i="15"/>
  <c r="F2" i="15"/>
  <c r="F20" i="15" l="1"/>
  <c r="F6" i="15"/>
  <c r="F13" i="15"/>
  <c r="G5" i="13" l="1"/>
  <c r="F5" i="13"/>
  <c r="C6" i="13"/>
  <c r="C4" i="13"/>
  <c r="C5" i="13" l="1"/>
  <c r="G4" i="3" l="1"/>
  <c r="G5" i="3"/>
  <c r="G6" i="3"/>
  <c r="I11" i="5" l="1"/>
  <c r="I22" i="4" l="1"/>
  <c r="I21" i="4"/>
  <c r="I20" i="4"/>
  <c r="H22" i="4"/>
  <c r="H21" i="4"/>
  <c r="H20" i="4"/>
  <c r="G23" i="4"/>
  <c r="G22" i="4"/>
  <c r="G21" i="4"/>
  <c r="G20" i="4"/>
  <c r="F23" i="4"/>
  <c r="F22" i="4"/>
  <c r="F21" i="4"/>
  <c r="F20" i="4"/>
  <c r="E24" i="4"/>
  <c r="D24" i="4"/>
  <c r="C24" i="4"/>
  <c r="I7" i="4"/>
  <c r="H7" i="4"/>
  <c r="G7" i="4"/>
  <c r="F7" i="4"/>
  <c r="E7" i="4"/>
  <c r="D7" i="4"/>
  <c r="C7" i="4"/>
  <c r="C8" i="4" s="1"/>
  <c r="C39" i="3"/>
  <c r="J23" i="3"/>
  <c r="J22" i="3"/>
  <c r="J21" i="3"/>
  <c r="I23" i="3"/>
  <c r="I22" i="3"/>
  <c r="I21" i="3"/>
  <c r="H24" i="3"/>
  <c r="H23" i="3"/>
  <c r="H22" i="3"/>
  <c r="H21" i="3"/>
  <c r="F24" i="3"/>
  <c r="F23" i="3"/>
  <c r="F22" i="3"/>
  <c r="F21" i="3"/>
  <c r="E25" i="3"/>
  <c r="D25" i="3"/>
  <c r="C29" i="3" s="1"/>
  <c r="C25" i="3"/>
  <c r="G5" i="2"/>
  <c r="D8" i="4" l="1"/>
  <c r="E8" i="4" s="1"/>
  <c r="F8" i="4" s="1"/>
  <c r="G8" i="4" s="1"/>
  <c r="H8" i="4" s="1"/>
  <c r="D29" i="3"/>
  <c r="J25" i="3"/>
  <c r="C5" i="2"/>
  <c r="F25" i="3"/>
  <c r="I25" i="3"/>
  <c r="H25" i="3"/>
  <c r="F24" i="4"/>
  <c r="C28" i="4"/>
  <c r="D28" i="4" s="1"/>
  <c r="I24" i="4"/>
  <c r="G24" i="4"/>
  <c r="F19" i="8"/>
  <c r="F18" i="8"/>
  <c r="F17" i="8"/>
  <c r="F12" i="8"/>
  <c r="F11" i="8"/>
  <c r="F10" i="8"/>
  <c r="F8" i="8"/>
  <c r="F7" i="8"/>
  <c r="F6" i="8"/>
  <c r="F4" i="8"/>
  <c r="F20" i="8" l="1"/>
  <c r="F13" i="8"/>
  <c r="F11" i="7"/>
  <c r="E11" i="7"/>
  <c r="D11" i="7"/>
  <c r="C11" i="7"/>
  <c r="F10" i="7"/>
  <c r="E10" i="7"/>
  <c r="D10" i="7"/>
  <c r="C10" i="7"/>
  <c r="F8" i="7"/>
  <c r="E8" i="7"/>
  <c r="D8" i="7"/>
  <c r="C8" i="7"/>
  <c r="F7" i="7"/>
  <c r="E7" i="7"/>
  <c r="D7" i="7"/>
  <c r="C7" i="7"/>
  <c r="B6" i="7"/>
  <c r="B5" i="7"/>
  <c r="B4" i="7"/>
  <c r="I9" i="5"/>
  <c r="I8" i="5"/>
  <c r="I7" i="5"/>
  <c r="I6" i="5"/>
  <c r="I5" i="5"/>
  <c r="F21" i="8" l="1"/>
  <c r="F22" i="8"/>
  <c r="B10" i="7"/>
  <c r="I10" i="5"/>
  <c r="I12" i="5" s="1"/>
  <c r="D22" i="8"/>
  <c r="B11" i="7"/>
  <c r="B7" i="7"/>
  <c r="B8" i="7"/>
  <c r="F5" i="6"/>
  <c r="F8" i="6" s="1"/>
  <c r="E5" i="6"/>
  <c r="E11" i="6" s="1"/>
  <c r="D5" i="6"/>
  <c r="D8" i="6" s="1"/>
  <c r="G11" i="6"/>
  <c r="F11" i="6"/>
  <c r="G10" i="6"/>
  <c r="G8" i="6"/>
  <c r="G7" i="6"/>
  <c r="E7" i="6"/>
  <c r="C6" i="6"/>
  <c r="C4" i="6"/>
  <c r="E10" i="6" l="1"/>
  <c r="F7" i="6"/>
  <c r="F10" i="6"/>
  <c r="D7" i="6"/>
  <c r="D10" i="6"/>
  <c r="C5" i="6"/>
  <c r="C8" i="6" s="1"/>
  <c r="D11" i="6"/>
  <c r="E8" i="6"/>
  <c r="C11" i="6" l="1"/>
  <c r="C10" i="6"/>
  <c r="C7" i="6"/>
</calcChain>
</file>

<file path=xl/sharedStrings.xml><?xml version="1.0" encoding="utf-8"?>
<sst xmlns="http://schemas.openxmlformats.org/spreadsheetml/2006/main" count="405" uniqueCount="222">
  <si>
    <t>Alternativa A</t>
  </si>
  <si>
    <t>Alternativa B</t>
  </si>
  <si>
    <t>Alternativa C</t>
  </si>
  <si>
    <t>Aquisição dos equipamentos para operação</t>
  </si>
  <si>
    <t>Consultoria de implantação</t>
  </si>
  <si>
    <t>Licença de implantação por usuário</t>
  </si>
  <si>
    <t>Número de usuários</t>
  </si>
  <si>
    <t>Período (anos)</t>
  </si>
  <si>
    <t>CAPEX</t>
  </si>
  <si>
    <t>OPEX</t>
  </si>
  <si>
    <t>TCO</t>
  </si>
  <si>
    <t>Item</t>
  </si>
  <si>
    <t>Valor</t>
  </si>
  <si>
    <t>CAPEX/OPEX</t>
  </si>
  <si>
    <t>PERÍODO</t>
  </si>
  <si>
    <t>CÁLCULO</t>
  </si>
  <si>
    <t>Implantação</t>
  </si>
  <si>
    <t>Aquisição dos equipamentos</t>
  </si>
  <si>
    <t>Manutenção (mensal)</t>
  </si>
  <si>
    <t>Operação (mensal)</t>
  </si>
  <si>
    <t>TCO EMPRESA 1</t>
  </si>
  <si>
    <t>TCO EMPRESA 2</t>
  </si>
  <si>
    <t>Leasing Operacional (mensal)</t>
  </si>
  <si>
    <t>Manutenção (mensal)*</t>
  </si>
  <si>
    <t xml:space="preserve"> -</t>
  </si>
  <si>
    <t>TCO EMPRESA 3</t>
  </si>
  <si>
    <t>Deliverable</t>
  </si>
  <si>
    <t>RECURSOS</t>
  </si>
  <si>
    <t>TAXA/HORA</t>
  </si>
  <si>
    <t>S1</t>
  </si>
  <si>
    <t>S2</t>
  </si>
  <si>
    <t>S3</t>
  </si>
  <si>
    <t>S4</t>
  </si>
  <si>
    <t>S5</t>
  </si>
  <si>
    <t>TOTAL</t>
  </si>
  <si>
    <t>Desenho Funcional</t>
  </si>
  <si>
    <t>Analista Funcional
Consultor Pleno
Consultor Senior</t>
  </si>
  <si>
    <t>45
90
120</t>
  </si>
  <si>
    <t>Construção e Testes</t>
  </si>
  <si>
    <t>Analista de Programação</t>
  </si>
  <si>
    <t>Testes Integrados</t>
  </si>
  <si>
    <t>Analista Funcional</t>
  </si>
  <si>
    <t>Homologação</t>
  </si>
  <si>
    <t>Consultor Pleno
Consultor Senior</t>
  </si>
  <si>
    <t>90
120</t>
  </si>
  <si>
    <t>Consultor Pleno</t>
  </si>
  <si>
    <t>Garantia</t>
  </si>
  <si>
    <t>Coordenador de Qualidade[5%]</t>
  </si>
  <si>
    <t>Gerenc. do Projeto</t>
  </si>
  <si>
    <t>Gerente de Projeto[10%]</t>
  </si>
  <si>
    <t>Custo Total</t>
  </si>
  <si>
    <t>Custo Acumulado</t>
  </si>
  <si>
    <t>Custos individuais</t>
  </si>
  <si>
    <t>Valor unitário</t>
  </si>
  <si>
    <t>Unidade</t>
  </si>
  <si>
    <t>Quantidade</t>
  </si>
  <si>
    <t>Valor estimado</t>
  </si>
  <si>
    <t>(US$)</t>
  </si>
  <si>
    <t>Hotel</t>
  </si>
  <si>
    <t>DIÁRIAS</t>
  </si>
  <si>
    <t>Alimentação</t>
  </si>
  <si>
    <t>Almoço</t>
  </si>
  <si>
    <t>REFEIÇÃO</t>
  </si>
  <si>
    <t>Jantar</t>
  </si>
  <si>
    <t>Lavanderia</t>
  </si>
  <si>
    <t>SEMANAL</t>
  </si>
  <si>
    <t>Comunicação</t>
  </si>
  <si>
    <t>Internet</t>
  </si>
  <si>
    <t>Telefone</t>
  </si>
  <si>
    <t>Transporte</t>
  </si>
  <si>
    <t>Total Individual</t>
  </si>
  <si>
    <t>Custos da equipe</t>
  </si>
  <si>
    <t>Aluguel Van</t>
  </si>
  <si>
    <t>MENSAL</t>
  </si>
  <si>
    <t>Combustível</t>
  </si>
  <si>
    <t>Estacionamento</t>
  </si>
  <si>
    <t>DIÁRIA</t>
  </si>
  <si>
    <t>Total</t>
  </si>
  <si>
    <t>Rateio por profissional</t>
  </si>
  <si>
    <t>PROFISSIONAIS</t>
  </si>
  <si>
    <t>Total por profissional</t>
  </si>
  <si>
    <t>Total geral</t>
  </si>
  <si>
    <t>INDICADOR</t>
  </si>
  <si>
    <t>ÁREA 1</t>
  </si>
  <si>
    <t>ÁREA 2</t>
  </si>
  <si>
    <t>ÁREA 3</t>
  </si>
  <si>
    <t>ÁREA 4</t>
  </si>
  <si>
    <t>VP</t>
  </si>
  <si>
    <t>VA</t>
  </si>
  <si>
    <t>CR</t>
  </si>
  <si>
    <t>VPr = VA-VP</t>
  </si>
  <si>
    <t>IDP = VA/VP</t>
  </si>
  <si>
    <t xml:space="preserve">Status </t>
  </si>
  <si>
    <t>ATRASADO
AGREGANDO SOMENTE 95% DO PLANEJADO</t>
  </si>
  <si>
    <t>ATRASADO
AGREGANDO SOMENTE 60% DO PLANEJADO</t>
  </si>
  <si>
    <t>NO PRAZO</t>
  </si>
  <si>
    <t>ADIANTADO
AGREGANDO 167% DO PLANEJADO</t>
  </si>
  <si>
    <t>ATRASADO
AGREGANDO SOMENTE 91% DO PLANEJADO</t>
  </si>
  <si>
    <t>VC = VA-CR</t>
  </si>
  <si>
    <t>IDC = VA/CR</t>
  </si>
  <si>
    <t>Status</t>
  </si>
  <si>
    <t>ACIMA DO ORÇADO
AGREGANDO R$ 0,95 PARA CADA R$ 1 GASTO</t>
  </si>
  <si>
    <t>ACIMA DO ORÇADO
AGREGANDO R$ 0,75 PARA CADA R$ 1 GASTO</t>
  </si>
  <si>
    <t>NO ORÇAMENTO</t>
  </si>
  <si>
    <t>ABAIXO DO ORÇADO
AGREGANDO R$ 1,25 PARA CADA R$ 1 GASTO</t>
  </si>
  <si>
    <t>ACIMA DO ORÇADO
AGREGANDO R$ 0,91 PARA CADA R$ 1 GASTO</t>
  </si>
  <si>
    <t>VPr</t>
  </si>
  <si>
    <t>VA - VP</t>
  </si>
  <si>
    <t>IDP</t>
  </si>
  <si>
    <t>VA / VP</t>
  </si>
  <si>
    <t>VC</t>
  </si>
  <si>
    <t>VA - CR</t>
  </si>
  <si>
    <t>IDC</t>
  </si>
  <si>
    <t>VA / CR</t>
  </si>
  <si>
    <t>LOTE 1</t>
  </si>
  <si>
    <t>LOTE 2</t>
  </si>
  <si>
    <t>LOTE 3</t>
  </si>
  <si>
    <t>LOTE 4</t>
  </si>
  <si>
    <t>ATRASADO
AGREGANDO 74% DO PLANEJADO</t>
  </si>
  <si>
    <t>ATRASADO
AGREGANDO 50% DO PLANEJADO</t>
  </si>
  <si>
    <t>ACIMA DO ORCTO
AGREGANDO 0,96 P/ CADA 1 REAL GASTO</t>
  </si>
  <si>
    <t>ABAIXO DO ORCTO
AGREGANDO 1,39 P/ CADA 1 REAL GASTO</t>
  </si>
  <si>
    <t>ACIMA DO ORCTO
AGREGANDO 0,89 P/ CADA 1 REAL GASTO</t>
  </si>
  <si>
    <t>ACIMA DO ORCTO
AGREGANDO 0,75 P/ CADA 1 REAL GASTO</t>
  </si>
  <si>
    <t>NO ORCTO</t>
  </si>
  <si>
    <t>M1</t>
  </si>
  <si>
    <t>M2</t>
  </si>
  <si>
    <t>M3</t>
  </si>
  <si>
    <t>M4</t>
  </si>
  <si>
    <t>somatorio</t>
  </si>
  <si>
    <t>M5</t>
  </si>
  <si>
    <t>M6</t>
  </si>
  <si>
    <t>Diagnóstico</t>
  </si>
  <si>
    <t>Mapeamento</t>
  </si>
  <si>
    <t>Modelagem</t>
  </si>
  <si>
    <t>Relatório final</t>
  </si>
  <si>
    <t xml:space="preserve">Custo Total </t>
  </si>
  <si>
    <t>% Medição
(M4)</t>
  </si>
  <si>
    <t xml:space="preserve">Custo Real (CR)* </t>
  </si>
  <si>
    <t>Valor Planejado (VP)</t>
  </si>
  <si>
    <t>Valor Agregado (VA)</t>
  </si>
  <si>
    <t>Custo Real (CR)</t>
  </si>
  <si>
    <t>Variações</t>
  </si>
  <si>
    <t>Índices</t>
  </si>
  <si>
    <t>Situação</t>
  </si>
  <si>
    <t>Variação de Custos (VC)</t>
  </si>
  <si>
    <t>Variação de Prazo (VPr)</t>
  </si>
  <si>
    <t>Índice de Desempenho de Custos (IDC)</t>
  </si>
  <si>
    <t>Índice de Desempenho de Prazo (IDP)</t>
  </si>
  <si>
    <t>Custos (Acima, Dentro ou Abaixo do orçamento)</t>
  </si>
  <si>
    <t>Prazos (No prazo, Atrasado ou Adiantado)</t>
  </si>
  <si>
    <t>Acima</t>
  </si>
  <si>
    <t>No prazo</t>
  </si>
  <si>
    <t>Atrasado</t>
  </si>
  <si>
    <t>Dentro</t>
  </si>
  <si>
    <t>Estimativas</t>
  </si>
  <si>
    <t>Orçamento no Término (ONT)</t>
  </si>
  <si>
    <t>Estimativa para Término (EPT)</t>
  </si>
  <si>
    <t>Estimativa no Término (ENT)</t>
  </si>
  <si>
    <t>EPT</t>
  </si>
  <si>
    <t>ONT-VA</t>
  </si>
  <si>
    <t>ENT</t>
  </si>
  <si>
    <t>CR + EPT</t>
  </si>
  <si>
    <t>EPT = ONT - VA</t>
  </si>
  <si>
    <t>ENT = CR + EPT</t>
  </si>
  <si>
    <t>RESULTADO = RECEITA - ORÇAMENTO</t>
  </si>
  <si>
    <t>RECEITA</t>
  </si>
  <si>
    <t>NOVO ORÇAMENTO</t>
  </si>
  <si>
    <t>RESULTADO</t>
  </si>
  <si>
    <t>LUCRO DE R$ 83 MIL</t>
  </si>
  <si>
    <t>1) REVER ESCOPO FOCANDO NAQUILO QUE NÃO DEVE FAZER</t>
  </si>
  <si>
    <t>2) REVER REQUISITOS COM FOCO EM REDUÇÃO</t>
  </si>
  <si>
    <t>3) RENEGOCIAR COM FORNECEDORES/CONTRATOS COM FOCO EM REDUÇÃO DE CUSTOS</t>
  </si>
  <si>
    <t>4) REVER A EQUIPE BUSCANDO RECURSOS MAIS BARATOS SEM PERDER PRODUTIVIDADE</t>
  </si>
  <si>
    <t>5) AVALIAR A POSSIBILIDADE DE TERCEIRIZAÇÃO</t>
  </si>
  <si>
    <t>6) REVER CRONOGRAMA E ORÇAMENTO</t>
  </si>
  <si>
    <t>7) NEGOCIAR POSSIBILIDADE DE ADITIVO DE REQUISITOS ADICIONAIS</t>
  </si>
  <si>
    <t>8) INTENSIFICAR OS CONTROLES DE PROJETO (REUNIÕES DE STATUS, MONITORAMENTO DOS INDICADORES)</t>
  </si>
  <si>
    <t>Planejamento</t>
  </si>
  <si>
    <t>Adequações prediais</t>
  </si>
  <si>
    <t>Equipamentos</t>
  </si>
  <si>
    <t>Pessoal</t>
  </si>
  <si>
    <t>DESVIOS DE CUSTO CONTINUAM</t>
  </si>
  <si>
    <t>EPT = (ONT-VA) /IDC</t>
  </si>
  <si>
    <t>ENT = CR + [(ONT-VA) /IDC]</t>
  </si>
  <si>
    <t>1) REVER ESCOPO COMO FOCO EM REDUÇÃO</t>
  </si>
  <si>
    <t>2) AVALIAR POSSIBILIDADE DE INSERIR MAIS RECURSOS NO PROJETO</t>
  </si>
  <si>
    <t>3) TRABALHAR NO FINAL DE SEMANA</t>
  </si>
  <si>
    <t>4) AMPLIAR A EQUIPE</t>
  </si>
  <si>
    <t>6) AVALIAR POSSIBILIDADE DE SUBSTITUIÇÃO DE FORNECEDORES</t>
  </si>
  <si>
    <t>7) AVALIAR POSSIBILIDADE DE PARALELISMO DE ATIVIDADES COM RECURSOS TERCEIRIZADOS</t>
  </si>
  <si>
    <t>O cronograma está atrasado</t>
  </si>
  <si>
    <t>Estou progredindo a uma taxa de 83% do planejado</t>
  </si>
  <si>
    <t>O custo está excedido</t>
  </si>
  <si>
    <t>Estou agregando 89 centavos para cada 1 real gasto</t>
  </si>
  <si>
    <t>Cessão de uso com suporte por 1 ano por usuário</t>
  </si>
  <si>
    <t>Suporte por telefone/e-mail/chat  por 1 ano por usuário</t>
  </si>
  <si>
    <t>ATRASADO, POIS ESTAMOS PROGREDINDO A 60% DA TAXA PLANEJADA</t>
  </si>
  <si>
    <t>ORÇAMENTO EXCEDIDO, POIS ESTAMOS AGREGANDO 75 CENTAVOS A CADA 1 REAL GASTO</t>
  </si>
  <si>
    <t>NO ORÇAMENTO ESPERADO</t>
  </si>
  <si>
    <t>ADIANTADO, POIS ESTAMOS PROGREDINDO A 167% (OU 67% ACIMA) DA TAXA PLANEJADA</t>
  </si>
  <si>
    <t>ABAIXO DO ORÇAMENTO, POIS ESTAMOS AGREGANDO R$ 1,25 A CADA R$ 1 GASTO</t>
  </si>
  <si>
    <t>ATRASADO, POIS ESTAMOS PROGREDINDO A 91% DA TAXA PLANEJADA</t>
  </si>
  <si>
    <t>ORÇAMENTO EXCEDIDO, POIS ESTAMOS AGREGANDO 91 CENTAVOS A CADA 1 REAL GASTO</t>
  </si>
  <si>
    <t>ATRASADO, POIS ESTAMOS PROGREDINDO A 95% DA TAXA PLANEJADA</t>
  </si>
  <si>
    <t>ORÇAMENTO EXCEDIDO, POIS ESTAMOS AGREGANDO 95 CENTAVOS A CADA 1 REAL GASTO</t>
  </si>
  <si>
    <t>ABAIXO DO ORÇAMENTO, POIS ESTÁ AGREGANDO R$ 1,39 A CADA R$ 1 GASTO</t>
  </si>
  <si>
    <t>ACIMA DO ORÇAMENTO, POIS ESTÁ AGREGANDO 89 CENTAVOS A CADA 1 REAL GASTO</t>
  </si>
  <si>
    <t>ATRASADO, POIS ESTÁ PROGREDINDO A UMA TAXA DE 50% DO PLANEJADO</t>
  </si>
  <si>
    <t>ACIMA DO ORÇAMENTO, POIS ESTÁ AGREGANDO 75 CENTAVOS A CADA 1 REAL GASTO</t>
  </si>
  <si>
    <t>ATRASADO, POIS ESTÁ PROGREDINDO A UMA TAXA DE 30% DO PLANEJADO</t>
  </si>
  <si>
    <t>ACIMA DO ORÇAMENTO, POIS ESTÁ AGREGANDO 20 CENTAVOS A CADA 1 REAL GASTO</t>
  </si>
  <si>
    <t>ATRASADO, POIS ESTÁ PROGREDINDO A UMA TAXA DE 68% DO PLANEJADO</t>
  </si>
  <si>
    <t>ACIMA DO ORÇAMENTO, POIS ESTÁ AGREGANDO 77 CENTAVOS A CADA 1 REAL GASTO</t>
  </si>
  <si>
    <t>ABAIXO DO ORÇAMENTO, POIS ESTÁ AGREGANDO R$ 1,25 A CADA R$ 1 GASTO</t>
  </si>
  <si>
    <t>ACIMA DO ORÇAMENTO, POIS ESTÁ AGREGANDO 69 CENTAVOS A CADA 1 REAL GASTO</t>
  </si>
  <si>
    <t>ATRASADO, POIS ESTÁ PROGREDINDO A UMA TAXA DE 50% DO PLANEJADO.</t>
  </si>
  <si>
    <t>ABAIXO DO ORÇAMENTO, POIS ESTÁ AGREGANDO R$ 1,83 A CADA R$ 1 GASTO</t>
  </si>
  <si>
    <t>ATRASADO, POIS ESTÁ PROGREDINDO A UMA TAXA DE 15% DO PLANEJADO.</t>
  </si>
  <si>
    <t>ACIMA DO ORÇAMENTO, POIS ESTÁ AGREGANDO 40 CENTAVOS A CADA 1 REAL GASTO</t>
  </si>
  <si>
    <t>ATRASADO, POIS ESTÁ PROGREDINDO A UMA TAXA DE 66% DO PLANEJADO.</t>
  </si>
  <si>
    <t>ACIMA DO ORÇAMENTO, POIS ESTÁ AGREGANDO 86 CENTAVOS A CADA 1 REAL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</si>
</sst>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#,##0.00_ ;\-#,##0.00\ "/>
    <numFmt numFmtId="166" formatCode="_-[$$-409]* #,##0.00_ ;_-[$$-409]* \-#,##0.00\ ;_-[$$-409]* &quot;-&quot;??_ ;_-@_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0"/>
      <name val="Verdana"/>
      <family val="2"/>
    </font>
    <font>
      <b/>
      <sz val="10"/>
      <color rgb="FF0070C0"/>
      <name val="Verdana"/>
      <family val="2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0000"/>
      <name val="Verdana"/>
      <family val="2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8"/>
      <color rgb="FFFF0000"/>
      <name val="Verdana"/>
      <family val="2"/>
    </font>
    <font>
      <b/>
      <sz val="10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8"/>
      <color rgb="FF0070C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4"/>
      <name val="Times New Roman"/>
      <family val="1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62626"/>
      </left>
      <right style="medium">
        <color rgb="FF262626"/>
      </right>
      <top style="medium">
        <color rgb="FF262626"/>
      </top>
      <bottom style="medium">
        <color rgb="FF262626"/>
      </bottom>
      <diagonal/>
    </border>
    <border>
      <left/>
      <right style="medium">
        <color rgb="FF262626"/>
      </right>
      <top style="medium">
        <color rgb="FF262626"/>
      </top>
      <bottom style="medium">
        <color rgb="FF262626"/>
      </bottom>
      <diagonal/>
    </border>
    <border>
      <left style="medium">
        <color rgb="FF262626"/>
      </left>
      <right style="medium">
        <color rgb="FF262626"/>
      </right>
      <top/>
      <bottom style="medium">
        <color rgb="FF262626"/>
      </bottom>
      <diagonal/>
    </border>
    <border>
      <left/>
      <right style="medium">
        <color rgb="FF262626"/>
      </right>
      <top/>
      <bottom style="medium">
        <color rgb="FF26262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164" fontId="3" fillId="0" borderId="4" xfId="1" applyNumberFormat="1" applyFont="1" applyBorder="1" applyAlignment="1">
      <alignment horizontal="justify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justify" vertical="center" wrapText="1"/>
    </xf>
    <xf numFmtId="164" fontId="5" fillId="0" borderId="4" xfId="1" applyNumberFormat="1" applyFont="1" applyBorder="1" applyAlignment="1">
      <alignment horizontal="justify" vertical="center" wrapText="1"/>
    </xf>
    <xf numFmtId="164" fontId="6" fillId="0" borderId="4" xfId="1" applyNumberFormat="1" applyFont="1" applyBorder="1" applyAlignment="1">
      <alignment horizontal="justify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164" fontId="8" fillId="0" borderId="4" xfId="1" applyNumberFormat="1" applyFont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3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14" fillId="5" borderId="4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44" fontId="2" fillId="0" borderId="8" xfId="1" applyFont="1" applyBorder="1" applyAlignment="1">
      <alignment horizontal="justify" vertical="center" wrapText="1"/>
    </xf>
    <xf numFmtId="44" fontId="3" fillId="0" borderId="8" xfId="1" applyFont="1" applyBorder="1" applyAlignment="1">
      <alignment horizontal="justify" vertical="center" wrapText="1"/>
    </xf>
    <xf numFmtId="44" fontId="3" fillId="6" borderId="8" xfId="1" applyFont="1" applyFill="1" applyBorder="1" applyAlignment="1">
      <alignment horizontal="justify" vertical="center" wrapText="1"/>
    </xf>
    <xf numFmtId="44" fontId="2" fillId="6" borderId="8" xfId="1" applyFont="1" applyFill="1" applyBorder="1" applyAlignment="1">
      <alignment horizontal="justify" vertical="center" wrapText="1"/>
    </xf>
    <xf numFmtId="0" fontId="2" fillId="7" borderId="8" xfId="0" applyFont="1" applyFill="1" applyBorder="1" applyAlignment="1">
      <alignment horizontal="justify" vertical="center" wrapText="1"/>
    </xf>
    <xf numFmtId="164" fontId="15" fillId="0" borderId="4" xfId="1" applyNumberFormat="1" applyFont="1" applyBorder="1" applyAlignment="1">
      <alignment horizontal="center" vertical="center" wrapText="1"/>
    </xf>
    <xf numFmtId="164" fontId="16" fillId="0" borderId="4" xfId="1" applyNumberFormat="1" applyFont="1" applyBorder="1" applyAlignment="1">
      <alignment horizontal="justify" vertical="center" wrapText="1"/>
    </xf>
    <xf numFmtId="164" fontId="17" fillId="0" borderId="4" xfId="1" applyNumberFormat="1" applyFont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8" borderId="13" xfId="0" applyFont="1" applyFill="1" applyBorder="1" applyAlignment="1">
      <alignment horizontal="justify" vertical="center" wrapText="1"/>
    </xf>
    <xf numFmtId="0" fontId="3" fillId="8" borderId="4" xfId="0" applyFont="1" applyFill="1" applyBorder="1" applyAlignment="1">
      <alignment horizontal="justify" vertical="center" wrapText="1"/>
    </xf>
    <xf numFmtId="0" fontId="18" fillId="4" borderId="11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44" fontId="0" fillId="0" borderId="0" xfId="1" applyFont="1"/>
    <xf numFmtId="0" fontId="0" fillId="0" borderId="0" xfId="0" applyAlignment="1">
      <alignment wrapText="1"/>
    </xf>
    <xf numFmtId="165" fontId="15" fillId="0" borderId="4" xfId="1" applyNumberFormat="1" applyFont="1" applyBorder="1" applyAlignment="1">
      <alignment horizontal="center" vertical="center" wrapText="1"/>
    </xf>
    <xf numFmtId="165" fontId="20" fillId="0" borderId="4" xfId="1" applyNumberFormat="1" applyFont="1" applyBorder="1" applyAlignment="1">
      <alignment horizontal="center" vertical="center" wrapText="1"/>
    </xf>
    <xf numFmtId="1" fontId="0" fillId="0" borderId="0" xfId="0" applyNumberFormat="1"/>
    <xf numFmtId="0" fontId="5" fillId="9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justify" vertical="center" wrapText="1"/>
    </xf>
    <xf numFmtId="0" fontId="21" fillId="10" borderId="2" xfId="0" applyFont="1" applyFill="1" applyBorder="1" applyAlignment="1">
      <alignment vertical="center" wrapText="1"/>
    </xf>
    <xf numFmtId="8" fontId="22" fillId="0" borderId="14" xfId="0" applyNumberFormat="1" applyFont="1" applyBorder="1" applyAlignment="1">
      <alignment vertical="center" wrapText="1"/>
    </xf>
    <xf numFmtId="8" fontId="22" fillId="0" borderId="15" xfId="0" applyNumberFormat="1" applyFont="1" applyBorder="1" applyAlignment="1">
      <alignment vertical="center" wrapText="1"/>
    </xf>
    <xf numFmtId="0" fontId="21" fillId="10" borderId="13" xfId="0" applyFont="1" applyFill="1" applyBorder="1" applyAlignment="1">
      <alignment vertical="center" wrapText="1"/>
    </xf>
    <xf numFmtId="0" fontId="0" fillId="0" borderId="14" xfId="0" applyBorder="1"/>
    <xf numFmtId="0" fontId="22" fillId="0" borderId="15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8" fontId="0" fillId="0" borderId="14" xfId="0" applyNumberFormat="1" applyBorder="1"/>
    <xf numFmtId="8" fontId="22" fillId="0" borderId="3" xfId="1" applyNumberFormat="1" applyFont="1" applyBorder="1" applyAlignment="1">
      <alignment vertical="center" wrapText="1"/>
    </xf>
    <xf numFmtId="0" fontId="23" fillId="0" borderId="0" xfId="0" applyFont="1"/>
    <xf numFmtId="0" fontId="11" fillId="0" borderId="0" xfId="0" applyFont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2" fontId="24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29" fillId="0" borderId="4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166" fontId="29" fillId="0" borderId="4" xfId="0" applyNumberFormat="1" applyFont="1" applyBorder="1" applyAlignment="1">
      <alignment horizontal="center" vertical="center" wrapText="1"/>
    </xf>
    <xf numFmtId="166" fontId="29" fillId="0" borderId="2" xfId="0" applyNumberFormat="1" applyFont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166" fontId="30" fillId="4" borderId="4" xfId="0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justify" vertical="center" wrapText="1"/>
    </xf>
    <xf numFmtId="0" fontId="30" fillId="4" borderId="3" xfId="0" applyFont="1" applyFill="1" applyBorder="1" applyAlignment="1">
      <alignment horizontal="justify" vertical="center" wrapText="1"/>
    </xf>
    <xf numFmtId="0" fontId="30" fillId="4" borderId="4" xfId="0" applyFont="1" applyFill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166" fontId="30" fillId="8" borderId="4" xfId="0" applyNumberFormat="1" applyFont="1" applyFill="1" applyBorder="1" applyAlignment="1">
      <alignment horizontal="justify" vertical="center" wrapText="1"/>
    </xf>
    <xf numFmtId="0" fontId="30" fillId="8" borderId="4" xfId="0" applyFont="1" applyFill="1" applyBorder="1" applyAlignment="1">
      <alignment horizontal="justify" vertical="center" wrapText="1"/>
    </xf>
    <xf numFmtId="0" fontId="30" fillId="0" borderId="3" xfId="0" applyFont="1" applyBorder="1" applyAlignment="1">
      <alignment horizontal="justify" vertical="center" wrapText="1"/>
    </xf>
    <xf numFmtId="0" fontId="29" fillId="0" borderId="3" xfId="0" applyFont="1" applyBorder="1" applyAlignment="1">
      <alignment horizontal="left" vertical="center" wrapText="1" indent="1"/>
    </xf>
    <xf numFmtId="0" fontId="29" fillId="0" borderId="1" xfId="0" applyFont="1" applyBorder="1" applyAlignment="1">
      <alignment horizontal="left" vertical="center" wrapText="1" indent="1"/>
    </xf>
    <xf numFmtId="44" fontId="2" fillId="11" borderId="8" xfId="1" applyFont="1" applyFill="1" applyBorder="1" applyAlignment="1">
      <alignment horizontal="justify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1" fillId="0" borderId="14" xfId="0" applyFont="1" applyBorder="1"/>
    <xf numFmtId="44" fontId="31" fillId="0" borderId="14" xfId="1" applyFont="1" applyBorder="1"/>
    <xf numFmtId="44" fontId="32" fillId="0" borderId="14" xfId="0" applyNumberFormat="1" applyFont="1" applyBorder="1"/>
    <xf numFmtId="165" fontId="32" fillId="0" borderId="14" xfId="0" applyNumberFormat="1" applyFont="1" applyBorder="1"/>
    <xf numFmtId="0" fontId="33" fillId="0" borderId="0" xfId="0" applyFont="1" applyAlignment="1">
      <alignment wrapText="1"/>
    </xf>
    <xf numFmtId="0" fontId="19" fillId="9" borderId="14" xfId="0" applyFont="1" applyFill="1" applyBorder="1"/>
    <xf numFmtId="0" fontId="0" fillId="9" borderId="0" xfId="0" applyFill="1"/>
    <xf numFmtId="44" fontId="19" fillId="9" borderId="14" xfId="1" applyFont="1" applyFill="1" applyBorder="1"/>
    <xf numFmtId="44" fontId="34" fillId="9" borderId="14" xfId="0" applyNumberFormat="1" applyFont="1" applyFill="1" applyBorder="1"/>
    <xf numFmtId="0" fontId="35" fillId="9" borderId="0" xfId="0" applyFont="1" applyFill="1"/>
    <xf numFmtId="1" fontId="19" fillId="9" borderId="14" xfId="1" applyNumberFormat="1" applyFont="1" applyFill="1" applyBorder="1"/>
    <xf numFmtId="0" fontId="32" fillId="0" borderId="14" xfId="0" applyFont="1" applyBorder="1"/>
    <xf numFmtId="44" fontId="4" fillId="0" borderId="4" xfId="1" applyFont="1" applyBorder="1" applyAlignment="1">
      <alignment horizontal="center" vertical="center" wrapText="1"/>
    </xf>
    <xf numFmtId="44" fontId="5" fillId="0" borderId="4" xfId="1" applyFont="1" applyBorder="1" applyAlignment="1">
      <alignment horizontal="center" vertical="center" wrapText="1"/>
    </xf>
    <xf numFmtId="44" fontId="6" fillId="0" borderId="4" xfId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4" fillId="12" borderId="14" xfId="0" applyFont="1" applyFill="1" applyBorder="1"/>
    <xf numFmtId="165" fontId="0" fillId="0" borderId="0" xfId="0" applyNumberFormat="1"/>
    <xf numFmtId="0" fontId="37" fillId="4" borderId="4" xfId="0" applyFont="1" applyFill="1" applyBorder="1" applyAlignment="1">
      <alignment horizontal="center" vertical="center" wrapText="1"/>
    </xf>
    <xf numFmtId="0" fontId="34" fillId="13" borderId="14" xfId="0" applyFont="1" applyFill="1" applyBorder="1"/>
    <xf numFmtId="0" fontId="19" fillId="12" borderId="14" xfId="0" applyFont="1" applyFill="1" applyBorder="1"/>
    <xf numFmtId="0" fontId="34" fillId="14" borderId="14" xfId="0" applyFont="1" applyFill="1" applyBorder="1"/>
    <xf numFmtId="0" fontId="34" fillId="15" borderId="14" xfId="0" applyFont="1" applyFill="1" applyBorder="1"/>
    <xf numFmtId="44" fontId="34" fillId="15" borderId="14" xfId="0" applyNumberFormat="1" applyFont="1" applyFill="1" applyBorder="1"/>
    <xf numFmtId="165" fontId="4" fillId="0" borderId="4" xfId="1" quotePrefix="1" applyNumberFormat="1" applyFont="1" applyBorder="1" applyAlignment="1">
      <alignment horizontal="center" vertical="center" wrapText="1"/>
    </xf>
    <xf numFmtId="0" fontId="21" fillId="10" borderId="0" xfId="0" applyFont="1" applyFill="1" applyAlignment="1">
      <alignment horizontal="left" vertical="center" wrapText="1"/>
    </xf>
    <xf numFmtId="0" fontId="30" fillId="8" borderId="11" xfId="0" applyFont="1" applyFill="1" applyBorder="1" applyAlignment="1">
      <alignment horizontal="justify" vertical="center" wrapText="1"/>
    </xf>
    <xf numFmtId="0" fontId="30" fillId="8" borderId="2" xfId="0" applyFont="1" applyFill="1" applyBorder="1" applyAlignment="1">
      <alignment horizontal="justify" vertical="center" wrapText="1"/>
    </xf>
    <xf numFmtId="0" fontId="3" fillId="8" borderId="9" xfId="0" applyFont="1" applyFill="1" applyBorder="1" applyAlignment="1">
      <alignment horizontal="justify" vertical="center" wrapText="1"/>
    </xf>
    <xf numFmtId="0" fontId="3" fillId="8" borderId="3" xfId="0" applyFont="1" applyFill="1" applyBorder="1" applyAlignment="1">
      <alignment horizontal="justify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11" fillId="0" borderId="9" xfId="0" applyNumberFormat="1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1" fontId="25" fillId="4" borderId="9" xfId="0" applyNumberFormat="1" applyFont="1" applyFill="1" applyBorder="1" applyAlignment="1">
      <alignment horizontal="center" vertical="center" wrapText="1"/>
    </xf>
    <xf numFmtId="1" fontId="25" fillId="4" borderId="3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de Base</a:t>
            </a:r>
          </a:p>
        </c:rich>
      </c:tx>
      <c:layout>
        <c:manualLayout>
          <c:xMode val="edge"/>
          <c:yMode val="edge"/>
          <c:x val="0.3798956692913385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176202974628171"/>
          <c:y val="0.19486111111111112"/>
          <c:w val="0.7837935258092738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1248338195912356E-3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99-4CB5-A7D2-A33739113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'QUESTAO 3'!$D$4:$H$4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'QUESTAO 3'!$D$13:$H$13</c:f>
              <c:numCache>
                <c:formatCode>_("R$"* #,##0.00_);_("R$"* \(#,##0.00\);_("R$"* "-"??_);_(@_)</c:formatCode>
                <c:ptCount val="5"/>
                <c:pt idx="0">
                  <c:v>11220</c:v>
                </c:pt>
                <c:pt idx="1">
                  <c:v>15040</c:v>
                </c:pt>
                <c:pt idx="2">
                  <c:v>17860</c:v>
                </c:pt>
                <c:pt idx="3">
                  <c:v>27280</c:v>
                </c:pt>
                <c:pt idx="4">
                  <c:v>31900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9-4CB5-A7D2-A3373911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160"/>
        <c:axId val="168993544"/>
      </c:lineChart>
      <c:catAx>
        <c:axId val="1689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93544"/>
        <c:crosses val="autoZero"/>
        <c:auto val="1"/>
        <c:lblAlgn val="ctr"/>
        <c:lblOffset val="100"/>
        <c:noMultiLvlLbl val="0"/>
      </c:catAx>
      <c:valAx>
        <c:axId val="1689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17</xdr:row>
      <xdr:rowOff>176212</xdr:rowOff>
    </xdr:from>
    <xdr:to>
      <xdr:col>8</xdr:col>
      <xdr:colOff>511969</xdr:colOff>
      <xdr:row>32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showGridLines="0" tabSelected="1" zoomScale="160" zoomScaleNormal="160" workbookViewId="0">
      <selection activeCell="E15" sqref="E15"/>
    </sheetView>
  </sheetViews>
  <sheetFormatPr defaultRowHeight="15" x14ac:dyDescent="0.25"/>
  <cols>
    <col min="2" max="2" width="51.5703125" style="104" bestFit="1" customWidth="1"/>
    <col min="3" max="3" width="13.42578125" bestFit="1" customWidth="1"/>
    <col min="4" max="4" width="14.42578125" customWidth="1"/>
    <col min="5" max="5" width="14.28515625" customWidth="1"/>
  </cols>
  <sheetData>
    <row r="3" spans="2:6" x14ac:dyDescent="0.25">
      <c r="B3" s="103"/>
      <c r="C3" s="120" t="s">
        <v>0</v>
      </c>
      <c r="D3" s="103" t="s">
        <v>1</v>
      </c>
      <c r="E3" s="103" t="s">
        <v>2</v>
      </c>
      <c r="F3" s="104"/>
    </row>
    <row r="4" spans="2:6" x14ac:dyDescent="0.25">
      <c r="B4" s="118" t="s">
        <v>3</v>
      </c>
      <c r="C4" s="105">
        <v>16500</v>
      </c>
      <c r="D4" s="105"/>
      <c r="E4" s="105"/>
      <c r="F4" s="104"/>
    </row>
    <row r="5" spans="2:6" x14ac:dyDescent="0.25">
      <c r="B5" s="118" t="s">
        <v>4</v>
      </c>
      <c r="C5" s="105">
        <v>8000</v>
      </c>
      <c r="D5" s="105">
        <v>20000</v>
      </c>
      <c r="E5" s="105">
        <v>15000</v>
      </c>
      <c r="F5" s="104"/>
    </row>
    <row r="6" spans="2:6" x14ac:dyDescent="0.25">
      <c r="B6" s="118" t="s">
        <v>5</v>
      </c>
      <c r="C6" s="105">
        <v>250</v>
      </c>
      <c r="D6" s="105"/>
      <c r="E6" s="105"/>
      <c r="F6" s="104"/>
    </row>
    <row r="7" spans="2:6" x14ac:dyDescent="0.25">
      <c r="B7" s="119" t="s">
        <v>196</v>
      </c>
      <c r="C7" s="105">
        <v>80</v>
      </c>
      <c r="D7" s="105"/>
      <c r="E7" s="105"/>
      <c r="F7" s="104"/>
    </row>
    <row r="8" spans="2:6" x14ac:dyDescent="0.25">
      <c r="B8" s="119" t="s">
        <v>195</v>
      </c>
      <c r="C8" s="105"/>
      <c r="D8" s="105">
        <v>160</v>
      </c>
      <c r="E8" s="105">
        <v>200</v>
      </c>
      <c r="F8" s="104"/>
    </row>
    <row r="9" spans="2:6" x14ac:dyDescent="0.25">
      <c r="C9" s="104"/>
      <c r="D9" s="104"/>
      <c r="E9" s="104"/>
      <c r="F9" s="104"/>
    </row>
    <row r="10" spans="2:6" x14ac:dyDescent="0.25">
      <c r="B10" s="103" t="s">
        <v>6</v>
      </c>
      <c r="C10" s="108">
        <v>50</v>
      </c>
      <c r="D10" s="104"/>
      <c r="E10" s="104"/>
      <c r="F10" s="104"/>
    </row>
    <row r="11" spans="2:6" x14ac:dyDescent="0.25">
      <c r="B11" s="103" t="s">
        <v>7</v>
      </c>
      <c r="C11" s="108">
        <v>5</v>
      </c>
      <c r="D11" s="104"/>
      <c r="E11" s="104"/>
      <c r="F11" s="104"/>
    </row>
    <row r="12" spans="2:6" x14ac:dyDescent="0.25">
      <c r="C12" s="104"/>
      <c r="D12" s="104"/>
      <c r="E12" s="104"/>
      <c r="F12" s="104"/>
    </row>
    <row r="13" spans="2:6" x14ac:dyDescent="0.25">
      <c r="C13" s="104"/>
      <c r="D13" s="104"/>
      <c r="E13" s="104"/>
      <c r="F13" s="104"/>
    </row>
    <row r="14" spans="2:6" x14ac:dyDescent="0.25">
      <c r="B14" s="114" t="s">
        <v>8</v>
      </c>
      <c r="C14" s="106">
        <f>C4+C5+(C6*C10)</f>
        <v>37000</v>
      </c>
      <c r="D14" s="106">
        <f>D5</f>
        <v>20000</v>
      </c>
      <c r="E14" s="106">
        <f>E5</f>
        <v>15000</v>
      </c>
      <c r="F14" s="104"/>
    </row>
    <row r="15" spans="2:6" x14ac:dyDescent="0.25">
      <c r="B15" s="117" t="s">
        <v>9</v>
      </c>
      <c r="C15" s="106">
        <f>C7*C10*C11</f>
        <v>20000</v>
      </c>
      <c r="D15" s="106">
        <f>D8*C10*C11</f>
        <v>40000</v>
      </c>
      <c r="E15" s="106">
        <f>E8*C10*C11</f>
        <v>50000</v>
      </c>
      <c r="F15" s="104"/>
    </row>
    <row r="16" spans="2:6" x14ac:dyDescent="0.25">
      <c r="B16" s="120" t="s">
        <v>10</v>
      </c>
      <c r="C16" s="121">
        <f>C14+C15</f>
        <v>57000</v>
      </c>
      <c r="D16" s="106">
        <f>D14+D15</f>
        <v>60000</v>
      </c>
      <c r="E16" s="106">
        <f>E14+E15</f>
        <v>65000</v>
      </c>
      <c r="F16" s="104"/>
    </row>
    <row r="17" spans="2:6" x14ac:dyDescent="0.25">
      <c r="B17" s="107"/>
      <c r="C17" s="107"/>
      <c r="D17" s="107"/>
      <c r="E17" s="104"/>
      <c r="F17" s="104"/>
    </row>
    <row r="18" spans="2:6" x14ac:dyDescent="0.25">
      <c r="B18" s="107"/>
      <c r="C18" s="107"/>
      <c r="D18" s="107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2"/>
  <sheetViews>
    <sheetView topLeftCell="B1" zoomScale="150" zoomScaleNormal="150" workbookViewId="0">
      <selection activeCell="D15" sqref="D15"/>
    </sheetView>
  </sheetViews>
  <sheetFormatPr defaultRowHeight="15" x14ac:dyDescent="0.25"/>
  <cols>
    <col min="1" max="1" width="6.5703125" customWidth="1"/>
    <col min="2" max="2" width="19.42578125" customWidth="1"/>
    <col min="3" max="3" width="22" customWidth="1"/>
    <col min="4" max="4" width="24.28515625" customWidth="1"/>
    <col min="5" max="5" width="21.28515625" customWidth="1"/>
    <col min="6" max="6" width="21.85546875" customWidth="1"/>
    <col min="7" max="7" width="19.28515625" bestFit="1" customWidth="1"/>
  </cols>
  <sheetData>
    <row r="2" spans="2:7" ht="15.75" thickBot="1" x14ac:dyDescent="0.3"/>
    <row r="3" spans="2:7" ht="15.75" thickBot="1" x14ac:dyDescent="0.3">
      <c r="B3" s="1" t="s">
        <v>82</v>
      </c>
      <c r="C3" s="2" t="s">
        <v>34</v>
      </c>
      <c r="D3" s="2" t="s">
        <v>114</v>
      </c>
      <c r="E3" s="2" t="s">
        <v>115</v>
      </c>
      <c r="F3" s="2" t="s">
        <v>116</v>
      </c>
      <c r="G3" s="2" t="s">
        <v>117</v>
      </c>
    </row>
    <row r="4" spans="2:7" ht="15.75" thickBot="1" x14ac:dyDescent="0.3">
      <c r="B4" s="3" t="s">
        <v>87</v>
      </c>
      <c r="C4" s="4">
        <f>SUM(D4:G4)</f>
        <v>117000</v>
      </c>
      <c r="D4" s="4">
        <v>32000</v>
      </c>
      <c r="E4" s="4">
        <v>25000</v>
      </c>
      <c r="F4" s="4">
        <v>60000</v>
      </c>
      <c r="G4" s="4">
        <v>0</v>
      </c>
    </row>
    <row r="5" spans="2:7" ht="15.75" thickBot="1" x14ac:dyDescent="0.3">
      <c r="B5" s="3" t="s">
        <v>88</v>
      </c>
      <c r="C5" s="4">
        <f>SUM(D5:G5)</f>
        <v>87000</v>
      </c>
      <c r="D5" s="4">
        <f>D4*1</f>
        <v>32000</v>
      </c>
      <c r="E5" s="4">
        <f>E4*1</f>
        <v>25000</v>
      </c>
      <c r="F5" s="4">
        <f>F4*0.5</f>
        <v>30000</v>
      </c>
      <c r="G5" s="4">
        <v>0</v>
      </c>
    </row>
    <row r="6" spans="2:7" ht="15.75" thickBot="1" x14ac:dyDescent="0.3">
      <c r="B6" s="3" t="s">
        <v>89</v>
      </c>
      <c r="C6" s="4">
        <f>SUM(D6:G6)</f>
        <v>91000</v>
      </c>
      <c r="D6" s="4">
        <v>23000</v>
      </c>
      <c r="E6" s="4">
        <v>28000</v>
      </c>
      <c r="F6" s="4">
        <v>40000</v>
      </c>
      <c r="G6" s="4">
        <v>0</v>
      </c>
    </row>
    <row r="7" spans="2:7" ht="15.75" thickBot="1" x14ac:dyDescent="0.3">
      <c r="B7" s="3" t="s">
        <v>90</v>
      </c>
      <c r="C7" s="7">
        <f>C5-C4</f>
        <v>-30000</v>
      </c>
      <c r="D7" s="8">
        <f>D5-D4</f>
        <v>0</v>
      </c>
      <c r="E7" s="4">
        <f>E5-E4</f>
        <v>0</v>
      </c>
      <c r="F7" s="7">
        <f>F5-F4</f>
        <v>-30000</v>
      </c>
      <c r="G7" s="8">
        <f>G5-G4</f>
        <v>0</v>
      </c>
    </row>
    <row r="8" spans="2:7" ht="15.75" thickBot="1" x14ac:dyDescent="0.3">
      <c r="B8" s="3" t="s">
        <v>91</v>
      </c>
      <c r="C8" s="11">
        <f>C5/C4</f>
        <v>0.74358974358974361</v>
      </c>
      <c r="D8" s="10">
        <f>D5/D4</f>
        <v>1</v>
      </c>
      <c r="E8" s="5">
        <f>E5/E4</f>
        <v>1</v>
      </c>
      <c r="F8" s="11">
        <f>F5/F4</f>
        <v>0.5</v>
      </c>
      <c r="G8" s="10" t="e">
        <f>G5/G4</f>
        <v>#DIV/0!</v>
      </c>
    </row>
    <row r="9" spans="2:7" ht="33.75" customHeight="1" thickBot="1" x14ac:dyDescent="0.3">
      <c r="B9" s="3" t="s">
        <v>92</v>
      </c>
      <c r="C9" s="13" t="s">
        <v>118</v>
      </c>
      <c r="D9" s="13" t="s">
        <v>95</v>
      </c>
      <c r="E9" s="13" t="s">
        <v>95</v>
      </c>
      <c r="F9" s="13" t="s">
        <v>119</v>
      </c>
      <c r="G9" s="14" t="s">
        <v>95</v>
      </c>
    </row>
    <row r="10" spans="2:7" ht="15.75" thickBot="1" x14ac:dyDescent="0.3">
      <c r="B10" s="3" t="s">
        <v>98</v>
      </c>
      <c r="C10" s="7">
        <f>C5-C6</f>
        <v>-4000</v>
      </c>
      <c r="D10" s="9">
        <f>D5-D6</f>
        <v>9000</v>
      </c>
      <c r="E10" s="7">
        <f>E5-E6</f>
        <v>-3000</v>
      </c>
      <c r="F10" s="7">
        <f>F5-F6</f>
        <v>-10000</v>
      </c>
      <c r="G10" s="8">
        <f>G5-G6</f>
        <v>0</v>
      </c>
    </row>
    <row r="11" spans="2:7" ht="15.75" thickBot="1" x14ac:dyDescent="0.3">
      <c r="B11" s="3" t="s">
        <v>99</v>
      </c>
      <c r="C11" s="11">
        <f>C5/C6</f>
        <v>0.95604395604395609</v>
      </c>
      <c r="D11" s="12">
        <f>D5/D6</f>
        <v>1.3913043478260869</v>
      </c>
      <c r="E11" s="11">
        <f>E5/E6</f>
        <v>0.8928571428571429</v>
      </c>
      <c r="F11" s="11">
        <f>F5/F6</f>
        <v>0.75</v>
      </c>
      <c r="G11" s="10" t="e">
        <f>G5/G6</f>
        <v>#DIV/0!</v>
      </c>
    </row>
    <row r="12" spans="2:7" ht="35.25" customHeight="1" thickBot="1" x14ac:dyDescent="0.3">
      <c r="B12" s="3" t="s">
        <v>100</v>
      </c>
      <c r="C12" s="13" t="s">
        <v>120</v>
      </c>
      <c r="D12" s="13" t="s">
        <v>121</v>
      </c>
      <c r="E12" s="13" t="s">
        <v>122</v>
      </c>
      <c r="F12" s="13" t="s">
        <v>123</v>
      </c>
      <c r="G12" s="1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0"/>
  <sheetViews>
    <sheetView topLeftCell="A18" zoomScale="120" zoomScaleNormal="120" workbookViewId="0">
      <selection activeCell="I12" sqref="I12"/>
    </sheetView>
  </sheetViews>
  <sheetFormatPr defaultRowHeight="15" x14ac:dyDescent="0.25"/>
  <cols>
    <col min="1" max="1" width="1.140625" customWidth="1"/>
    <col min="2" max="2" width="20.85546875" customWidth="1"/>
    <col min="3" max="3" width="17.7109375" customWidth="1"/>
    <col min="4" max="4" width="17.85546875" customWidth="1"/>
    <col min="5" max="5" width="9.5703125" customWidth="1"/>
    <col min="7" max="7" width="0" hidden="1" customWidth="1"/>
    <col min="8" max="8" width="11.42578125" customWidth="1"/>
    <col min="9" max="9" width="13.140625" bestFit="1" customWidth="1"/>
    <col min="10" max="10" width="11" customWidth="1"/>
    <col min="12" max="12" width="12.42578125" customWidth="1"/>
  </cols>
  <sheetData>
    <row r="2" spans="2:10" ht="15.75" thickBot="1" x14ac:dyDescent="0.3"/>
    <row r="3" spans="2:10" ht="26.25" thickBot="1" x14ac:dyDescent="0.3">
      <c r="B3" s="15" t="s">
        <v>26</v>
      </c>
      <c r="C3" s="16" t="s">
        <v>125</v>
      </c>
      <c r="D3" s="16" t="s">
        <v>126</v>
      </c>
      <c r="E3" s="16" t="s">
        <v>127</v>
      </c>
      <c r="F3" s="23" t="s">
        <v>128</v>
      </c>
      <c r="G3" s="23" t="s">
        <v>129</v>
      </c>
      <c r="H3" s="16" t="s">
        <v>130</v>
      </c>
      <c r="I3" s="16" t="s">
        <v>131</v>
      </c>
      <c r="J3" s="16" t="s">
        <v>34</v>
      </c>
    </row>
    <row r="4" spans="2:10" ht="15.75" thickBot="1" x14ac:dyDescent="0.3">
      <c r="B4" s="17" t="s">
        <v>132</v>
      </c>
      <c r="C4" s="24">
        <v>100</v>
      </c>
      <c r="D4" s="24"/>
      <c r="E4" s="24"/>
      <c r="F4" s="24"/>
      <c r="G4" s="24">
        <f>SUM(C4:F4)</f>
        <v>100</v>
      </c>
      <c r="H4" s="18"/>
      <c r="I4" s="18"/>
      <c r="J4" s="18">
        <v>100</v>
      </c>
    </row>
    <row r="5" spans="2:10" ht="15.75" thickBot="1" x14ac:dyDescent="0.3">
      <c r="B5" s="17" t="s">
        <v>133</v>
      </c>
      <c r="C5" s="24"/>
      <c r="D5" s="24">
        <v>180</v>
      </c>
      <c r="E5" s="24">
        <v>80</v>
      </c>
      <c r="F5" s="24"/>
      <c r="G5" s="24">
        <f>SUM(C5:F5)</f>
        <v>260</v>
      </c>
      <c r="H5" s="18"/>
      <c r="I5" s="18"/>
      <c r="J5" s="18">
        <v>260</v>
      </c>
    </row>
    <row r="6" spans="2:10" ht="15.75" thickBot="1" x14ac:dyDescent="0.3">
      <c r="B6" s="17" t="s">
        <v>134</v>
      </c>
      <c r="C6" s="24"/>
      <c r="D6" s="24"/>
      <c r="E6" s="24">
        <v>100</v>
      </c>
      <c r="F6" s="24">
        <v>180</v>
      </c>
      <c r="G6" s="24">
        <f>SUM(C6:F6)</f>
        <v>280</v>
      </c>
      <c r="H6" s="18">
        <v>180</v>
      </c>
      <c r="I6" s="18"/>
      <c r="J6" s="18">
        <v>460</v>
      </c>
    </row>
    <row r="7" spans="2:10" ht="15.75" thickBot="1" x14ac:dyDescent="0.3">
      <c r="B7" s="17" t="s">
        <v>135</v>
      </c>
      <c r="C7" s="24"/>
      <c r="D7" s="24"/>
      <c r="E7" s="24"/>
      <c r="F7" s="24"/>
      <c r="G7" s="24"/>
      <c r="H7" s="18"/>
      <c r="I7" s="18">
        <v>80</v>
      </c>
      <c r="J7" s="18">
        <v>80</v>
      </c>
    </row>
    <row r="8" spans="2:10" ht="15.75" thickBot="1" x14ac:dyDescent="0.3">
      <c r="B8" s="17" t="s">
        <v>136</v>
      </c>
      <c r="C8" s="24">
        <f>SUM(C4:C7)</f>
        <v>100</v>
      </c>
      <c r="D8" s="24">
        <f>SUM(D4:D7)</f>
        <v>180</v>
      </c>
      <c r="E8" s="24">
        <f>SUM(E4:E7)</f>
        <v>180</v>
      </c>
      <c r="F8" s="24">
        <f>SUM(F4:F7)</f>
        <v>180</v>
      </c>
      <c r="G8" s="24"/>
      <c r="H8" s="58">
        <f t="shared" ref="H8:J8" si="0">SUM(H4:H7)</f>
        <v>180</v>
      </c>
      <c r="I8" s="58">
        <f t="shared" si="0"/>
        <v>80</v>
      </c>
      <c r="J8" s="58">
        <f t="shared" si="0"/>
        <v>900</v>
      </c>
    </row>
    <row r="9" spans="2:10" ht="15.75" thickBot="1" x14ac:dyDescent="0.3">
      <c r="B9" s="17" t="s">
        <v>51</v>
      </c>
      <c r="C9" s="24">
        <f>C8</f>
        <v>100</v>
      </c>
      <c r="D9" s="24">
        <f>C9+D8</f>
        <v>280</v>
      </c>
      <c r="E9" s="24">
        <f>D9+E8</f>
        <v>460</v>
      </c>
      <c r="F9" s="24">
        <f>E9+F8</f>
        <v>640</v>
      </c>
      <c r="G9" s="24"/>
      <c r="H9" s="58">
        <f>F9+H8</f>
        <v>820</v>
      </c>
      <c r="I9" s="58">
        <f>H9+I8</f>
        <v>900</v>
      </c>
      <c r="J9" s="59"/>
    </row>
    <row r="10" spans="2:10" ht="15.75" thickBot="1" x14ac:dyDescent="0.3"/>
    <row r="11" spans="2:10" ht="31.5" customHeight="1" x14ac:dyDescent="0.25">
      <c r="B11" s="135" t="s">
        <v>26</v>
      </c>
      <c r="C11" s="128" t="s">
        <v>137</v>
      </c>
      <c r="D11" s="133" t="s">
        <v>138</v>
      </c>
      <c r="E11" s="128" t="s">
        <v>87</v>
      </c>
      <c r="F11" s="128" t="s">
        <v>88</v>
      </c>
    </row>
    <row r="12" spans="2:10" ht="15.75" customHeight="1" thickBot="1" x14ac:dyDescent="0.3">
      <c r="B12" s="136"/>
      <c r="C12" s="129"/>
      <c r="D12" s="134"/>
      <c r="E12" s="129"/>
      <c r="F12" s="129"/>
    </row>
    <row r="13" spans="2:10" ht="16.5" thickBot="1" x14ac:dyDescent="0.3">
      <c r="B13" s="20" t="s">
        <v>132</v>
      </c>
      <c r="C13" s="22">
        <v>100</v>
      </c>
      <c r="D13" s="21">
        <v>120</v>
      </c>
      <c r="E13" s="116">
        <v>100</v>
      </c>
      <c r="F13" s="116">
        <v>100</v>
      </c>
    </row>
    <row r="14" spans="2:10" ht="16.5" thickBot="1" x14ac:dyDescent="0.3">
      <c r="B14" s="20" t="s">
        <v>133</v>
      </c>
      <c r="C14" s="22">
        <v>95</v>
      </c>
      <c r="D14" s="21">
        <v>300</v>
      </c>
      <c r="E14" s="116">
        <v>260</v>
      </c>
      <c r="F14" s="116">
        <f>E14*0.95</f>
        <v>247</v>
      </c>
    </row>
    <row r="15" spans="2:10" ht="16.5" thickBot="1" x14ac:dyDescent="0.3">
      <c r="B15" s="20" t="s">
        <v>134</v>
      </c>
      <c r="C15" s="22">
        <v>20</v>
      </c>
      <c r="D15" s="21">
        <v>300</v>
      </c>
      <c r="E15" s="116">
        <v>280</v>
      </c>
      <c r="F15" s="116">
        <f>E15*0.2</f>
        <v>56</v>
      </c>
    </row>
    <row r="16" spans="2:10" ht="16.5" thickBot="1" x14ac:dyDescent="0.3">
      <c r="B16" s="20" t="s">
        <v>135</v>
      </c>
      <c r="C16" s="22">
        <v>0</v>
      </c>
      <c r="D16" s="21">
        <v>0</v>
      </c>
      <c r="E16" s="116">
        <v>0</v>
      </c>
      <c r="F16" s="116">
        <v>0</v>
      </c>
    </row>
    <row r="17" spans="2:12" ht="16.5" thickBot="1" x14ac:dyDescent="0.3">
      <c r="B17" s="20" t="s">
        <v>34</v>
      </c>
      <c r="C17" s="22"/>
      <c r="D17" s="21">
        <f>SUM(D13:D16)</f>
        <v>720</v>
      </c>
      <c r="E17" s="116">
        <f>SUM(E13:E16)</f>
        <v>640</v>
      </c>
      <c r="F17" s="116">
        <f>SUM(F13:F16)</f>
        <v>403</v>
      </c>
    </row>
    <row r="18" spans="2:12" ht="15.75" thickBot="1" x14ac:dyDescent="0.3"/>
    <row r="19" spans="2:12" ht="16.5" thickBot="1" x14ac:dyDescent="0.3">
      <c r="B19" s="135" t="s">
        <v>26</v>
      </c>
      <c r="C19" s="133" t="s">
        <v>139</v>
      </c>
      <c r="D19" s="133" t="s">
        <v>140</v>
      </c>
      <c r="E19" s="133" t="s">
        <v>141</v>
      </c>
      <c r="F19" s="130" t="s">
        <v>142</v>
      </c>
      <c r="G19" s="132"/>
      <c r="H19" s="131"/>
      <c r="I19" s="130" t="s">
        <v>143</v>
      </c>
      <c r="J19" s="131"/>
      <c r="K19" s="130" t="s">
        <v>144</v>
      </c>
      <c r="L19" s="131"/>
    </row>
    <row r="20" spans="2:12" ht="126.75" thickBot="1" x14ac:dyDescent="0.3">
      <c r="B20" s="136"/>
      <c r="C20" s="134"/>
      <c r="D20" s="134"/>
      <c r="E20" s="134"/>
      <c r="F20" s="19" t="s">
        <v>145</v>
      </c>
      <c r="G20" s="19"/>
      <c r="H20" s="19" t="s">
        <v>146</v>
      </c>
      <c r="I20" s="19" t="s">
        <v>147</v>
      </c>
      <c r="J20" s="19" t="s">
        <v>148</v>
      </c>
      <c r="K20" s="19" t="s">
        <v>149</v>
      </c>
      <c r="L20" s="19" t="s">
        <v>150</v>
      </c>
    </row>
    <row r="21" spans="2:12" ht="16.5" thickBot="1" x14ac:dyDescent="0.3">
      <c r="B21" s="20" t="s">
        <v>132</v>
      </c>
      <c r="C21" s="26">
        <v>100</v>
      </c>
      <c r="D21" s="26">
        <v>100</v>
      </c>
      <c r="E21" s="26">
        <v>120</v>
      </c>
      <c r="F21" s="22">
        <f>D21-E21</f>
        <v>-20</v>
      </c>
      <c r="G21" s="22"/>
      <c r="H21" s="26">
        <f>D21-C21</f>
        <v>0</v>
      </c>
      <c r="I21" s="28">
        <f>D21/E21</f>
        <v>0.83333333333333337</v>
      </c>
      <c r="J21" s="19">
        <f>D21/C21</f>
        <v>1</v>
      </c>
      <c r="K21" s="22" t="s">
        <v>151</v>
      </c>
      <c r="L21" s="19" t="s">
        <v>152</v>
      </c>
    </row>
    <row r="22" spans="2:12" ht="16.5" thickBot="1" x14ac:dyDescent="0.3">
      <c r="B22" s="20" t="s">
        <v>133</v>
      </c>
      <c r="C22" s="26">
        <v>260</v>
      </c>
      <c r="D22" s="26">
        <v>247</v>
      </c>
      <c r="E22" s="26">
        <v>300</v>
      </c>
      <c r="F22" s="22">
        <f>D22-E22</f>
        <v>-53</v>
      </c>
      <c r="G22" s="22"/>
      <c r="H22" s="22">
        <f>D22-C22</f>
        <v>-13</v>
      </c>
      <c r="I22" s="28">
        <f>D22/E22</f>
        <v>0.82333333333333336</v>
      </c>
      <c r="J22" s="28">
        <f>D22/C22</f>
        <v>0.95</v>
      </c>
      <c r="K22" s="22" t="s">
        <v>151</v>
      </c>
      <c r="L22" s="22" t="s">
        <v>153</v>
      </c>
    </row>
    <row r="23" spans="2:12" ht="16.5" thickBot="1" x14ac:dyDescent="0.3">
      <c r="B23" s="20" t="s">
        <v>134</v>
      </c>
      <c r="C23" s="26">
        <v>280</v>
      </c>
      <c r="D23" s="26">
        <v>56</v>
      </c>
      <c r="E23" s="26">
        <v>300</v>
      </c>
      <c r="F23" s="22">
        <f>D23-E23</f>
        <v>-244</v>
      </c>
      <c r="G23" s="22"/>
      <c r="H23" s="22">
        <f>D23-C23</f>
        <v>-224</v>
      </c>
      <c r="I23" s="28">
        <f>D23/E23</f>
        <v>0.18666666666666668</v>
      </c>
      <c r="J23" s="28">
        <f>D23/C23</f>
        <v>0.2</v>
      </c>
      <c r="K23" s="22" t="s">
        <v>151</v>
      </c>
      <c r="L23" s="22" t="s">
        <v>153</v>
      </c>
    </row>
    <row r="24" spans="2:12" ht="16.5" thickBot="1" x14ac:dyDescent="0.3">
      <c r="B24" s="20" t="s">
        <v>135</v>
      </c>
      <c r="C24" s="26">
        <v>0</v>
      </c>
      <c r="D24" s="26">
        <v>0</v>
      </c>
      <c r="E24" s="26">
        <v>0</v>
      </c>
      <c r="F24" s="26">
        <f>D24-E24</f>
        <v>0</v>
      </c>
      <c r="G24" s="26"/>
      <c r="H24" s="26">
        <f>D24-C24</f>
        <v>0</v>
      </c>
      <c r="I24" s="27" t="e">
        <f>D24/E24</f>
        <v>#DIV/0!</v>
      </c>
      <c r="J24" s="27" t="e">
        <f>D24/C24</f>
        <v>#DIV/0!</v>
      </c>
      <c r="K24" s="19" t="s">
        <v>154</v>
      </c>
      <c r="L24" s="19" t="s">
        <v>152</v>
      </c>
    </row>
    <row r="25" spans="2:12" ht="16.5" thickBot="1" x14ac:dyDescent="0.3">
      <c r="B25" s="96" t="s">
        <v>34</v>
      </c>
      <c r="C25" s="26">
        <f>SUM(C21:C24)</f>
        <v>640</v>
      </c>
      <c r="D25" s="26">
        <f>SUM(D21:D24)</f>
        <v>403</v>
      </c>
      <c r="E25" s="26">
        <f>SUM(E21:E24)</f>
        <v>720</v>
      </c>
      <c r="F25" s="22">
        <f>D25-E25</f>
        <v>-317</v>
      </c>
      <c r="G25" s="22"/>
      <c r="H25" s="22">
        <f>D25-C25</f>
        <v>-237</v>
      </c>
      <c r="I25" s="35">
        <f>D25/E25</f>
        <v>0.55972222222222223</v>
      </c>
      <c r="J25" s="35">
        <f>D25/C25</f>
        <v>0.62968749999999996</v>
      </c>
      <c r="K25" s="22" t="s">
        <v>151</v>
      </c>
      <c r="L25" s="22" t="s">
        <v>153</v>
      </c>
    </row>
    <row r="26" spans="2:12" ht="16.5" thickBot="1" x14ac:dyDescent="0.3">
      <c r="B26" s="25"/>
      <c r="I26" s="47"/>
    </row>
    <row r="27" spans="2:12" ht="16.5" thickBot="1" x14ac:dyDescent="0.3">
      <c r="B27" s="130" t="s">
        <v>155</v>
      </c>
      <c r="C27" s="132"/>
      <c r="D27" s="131"/>
    </row>
    <row r="28" spans="2:12" ht="32.25" thickBot="1" x14ac:dyDescent="0.3">
      <c r="B28" s="96" t="s">
        <v>156</v>
      </c>
      <c r="C28" s="19" t="s">
        <v>157</v>
      </c>
      <c r="D28" s="19" t="s">
        <v>158</v>
      </c>
      <c r="F28" s="73" t="s">
        <v>159</v>
      </c>
      <c r="H28" s="73" t="s">
        <v>160</v>
      </c>
    </row>
    <row r="29" spans="2:12" ht="15.75" x14ac:dyDescent="0.25">
      <c r="B29" s="133">
        <v>900</v>
      </c>
      <c r="C29" s="137">
        <f>B29-D25</f>
        <v>497</v>
      </c>
      <c r="D29" s="137">
        <f>E25+C29</f>
        <v>1217</v>
      </c>
      <c r="F29" s="73" t="s">
        <v>161</v>
      </c>
      <c r="H29" s="73" t="s">
        <v>162</v>
      </c>
    </row>
    <row r="30" spans="2:12" ht="15.75" thickBot="1" x14ac:dyDescent="0.3">
      <c r="B30" s="134"/>
      <c r="C30" s="138"/>
      <c r="D30" s="138"/>
    </row>
    <row r="31" spans="2:12" ht="15.75" x14ac:dyDescent="0.25">
      <c r="B31" s="25"/>
    </row>
    <row r="33" spans="2:3" x14ac:dyDescent="0.25">
      <c r="B33" t="s">
        <v>163</v>
      </c>
    </row>
    <row r="34" spans="2:3" x14ac:dyDescent="0.25">
      <c r="B34" t="s">
        <v>164</v>
      </c>
    </row>
    <row r="36" spans="2:3" x14ac:dyDescent="0.25">
      <c r="B36" t="s">
        <v>165</v>
      </c>
    </row>
    <row r="37" spans="2:3" x14ac:dyDescent="0.25">
      <c r="B37" t="s">
        <v>166</v>
      </c>
      <c r="C37">
        <v>1300</v>
      </c>
    </row>
    <row r="38" spans="2:3" x14ac:dyDescent="0.25">
      <c r="B38" t="s">
        <v>167</v>
      </c>
      <c r="C38">
        <v>1217</v>
      </c>
    </row>
    <row r="39" spans="2:3" x14ac:dyDescent="0.25">
      <c r="B39" t="s">
        <v>168</v>
      </c>
      <c r="C39">
        <f>C37-C38</f>
        <v>83</v>
      </c>
    </row>
    <row r="40" spans="2:3" x14ac:dyDescent="0.25">
      <c r="B40" t="s">
        <v>169</v>
      </c>
    </row>
    <row r="43" spans="2:3" x14ac:dyDescent="0.25">
      <c r="B43" t="s">
        <v>170</v>
      </c>
    </row>
    <row r="44" spans="2:3" x14ac:dyDescent="0.25">
      <c r="B44" t="s">
        <v>171</v>
      </c>
    </row>
    <row r="45" spans="2:3" x14ac:dyDescent="0.25">
      <c r="B45" t="s">
        <v>172</v>
      </c>
    </row>
    <row r="46" spans="2:3" x14ac:dyDescent="0.25">
      <c r="B46" t="s">
        <v>173</v>
      </c>
    </row>
    <row r="47" spans="2:3" x14ac:dyDescent="0.25">
      <c r="B47" t="s">
        <v>174</v>
      </c>
    </row>
    <row r="48" spans="2:3" x14ac:dyDescent="0.25">
      <c r="B48" t="s">
        <v>175</v>
      </c>
    </row>
    <row r="49" spans="2:2" x14ac:dyDescent="0.25">
      <c r="B49" t="s">
        <v>176</v>
      </c>
    </row>
    <row r="50" spans="2:2" x14ac:dyDescent="0.25">
      <c r="B50" t="s">
        <v>177</v>
      </c>
    </row>
  </sheetData>
  <mergeCells count="16">
    <mergeCell ref="B29:B30"/>
    <mergeCell ref="C29:C30"/>
    <mergeCell ref="D29:D30"/>
    <mergeCell ref="B19:B20"/>
    <mergeCell ref="C19:C20"/>
    <mergeCell ref="D19:D20"/>
    <mergeCell ref="E11:E12"/>
    <mergeCell ref="F11:F12"/>
    <mergeCell ref="I19:J19"/>
    <mergeCell ref="K19:L19"/>
    <mergeCell ref="B27:D27"/>
    <mergeCell ref="E19:E20"/>
    <mergeCell ref="F19:H19"/>
    <mergeCell ref="B11:B12"/>
    <mergeCell ref="C11:C12"/>
    <mergeCell ref="D11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36"/>
  <sheetViews>
    <sheetView topLeftCell="A16" zoomScale="110" zoomScaleNormal="110" workbookViewId="0">
      <selection activeCell="K12" sqref="K12"/>
    </sheetView>
  </sheetViews>
  <sheetFormatPr defaultRowHeight="15" x14ac:dyDescent="0.25"/>
  <cols>
    <col min="1" max="1" width="2.140625" customWidth="1"/>
    <col min="2" max="2" width="20.140625" customWidth="1"/>
    <col min="3" max="3" width="15.7109375" customWidth="1"/>
    <col min="4" max="4" width="12.85546875" customWidth="1"/>
    <col min="5" max="5" width="8.42578125" customWidth="1"/>
    <col min="8" max="8" width="11.42578125" customWidth="1"/>
    <col min="10" max="10" width="10" customWidth="1"/>
    <col min="11" max="11" width="12.42578125" customWidth="1"/>
  </cols>
  <sheetData>
    <row r="1" spans="2:9" ht="15.75" thickBot="1" x14ac:dyDescent="0.3"/>
    <row r="2" spans="2:9" ht="15.75" thickBot="1" x14ac:dyDescent="0.3">
      <c r="B2" s="15" t="s">
        <v>26</v>
      </c>
      <c r="C2" s="16" t="s">
        <v>125</v>
      </c>
      <c r="D2" s="16" t="s">
        <v>126</v>
      </c>
      <c r="E2" s="16" t="s">
        <v>127</v>
      </c>
      <c r="F2" s="16" t="s">
        <v>128</v>
      </c>
      <c r="G2" s="16" t="s">
        <v>130</v>
      </c>
      <c r="H2" s="16" t="s">
        <v>131</v>
      </c>
      <c r="I2" s="16" t="s">
        <v>34</v>
      </c>
    </row>
    <row r="3" spans="2:9" ht="15.75" thickBot="1" x14ac:dyDescent="0.3">
      <c r="B3" s="17" t="s">
        <v>178</v>
      </c>
      <c r="C3" s="24">
        <v>40</v>
      </c>
      <c r="D3" s="24">
        <v>20</v>
      </c>
      <c r="E3" s="24"/>
      <c r="F3" s="24"/>
      <c r="G3" s="18"/>
      <c r="H3" s="18"/>
      <c r="I3" s="29">
        <v>60</v>
      </c>
    </row>
    <row r="4" spans="2:9" ht="26.25" thickBot="1" x14ac:dyDescent="0.3">
      <c r="B4" s="17" t="s">
        <v>179</v>
      </c>
      <c r="C4" s="24"/>
      <c r="D4" s="24">
        <v>100</v>
      </c>
      <c r="E4" s="24">
        <v>120</v>
      </c>
      <c r="F4" s="24">
        <v>200</v>
      </c>
      <c r="G4" s="18"/>
      <c r="H4" s="18"/>
      <c r="I4" s="29">
        <v>420</v>
      </c>
    </row>
    <row r="5" spans="2:9" ht="15.75" thickBot="1" x14ac:dyDescent="0.3">
      <c r="B5" s="17" t="s">
        <v>180</v>
      </c>
      <c r="C5" s="24"/>
      <c r="D5" s="24"/>
      <c r="E5" s="24">
        <v>280</v>
      </c>
      <c r="F5" s="24">
        <v>200</v>
      </c>
      <c r="G5" s="18">
        <v>60</v>
      </c>
      <c r="H5" s="18"/>
      <c r="I5" s="29">
        <v>540</v>
      </c>
    </row>
    <row r="6" spans="2:9" ht="15.75" thickBot="1" x14ac:dyDescent="0.3">
      <c r="B6" s="17" t="s">
        <v>181</v>
      </c>
      <c r="C6" s="24"/>
      <c r="D6" s="24"/>
      <c r="E6" s="24"/>
      <c r="F6" s="24">
        <v>30</v>
      </c>
      <c r="G6" s="18">
        <v>100</v>
      </c>
      <c r="H6" s="18">
        <v>50</v>
      </c>
      <c r="I6" s="29">
        <v>180</v>
      </c>
    </row>
    <row r="7" spans="2:9" ht="15.75" thickBot="1" x14ac:dyDescent="0.3">
      <c r="B7" s="17" t="s">
        <v>136</v>
      </c>
      <c r="C7" s="24">
        <f t="shared" ref="C7:I7" si="0">SUM(C3:C6)</f>
        <v>40</v>
      </c>
      <c r="D7" s="24">
        <f t="shared" si="0"/>
        <v>120</v>
      </c>
      <c r="E7" s="24">
        <f t="shared" si="0"/>
        <v>400</v>
      </c>
      <c r="F7" s="24">
        <f t="shared" si="0"/>
        <v>430</v>
      </c>
      <c r="G7" s="58">
        <f t="shared" si="0"/>
        <v>160</v>
      </c>
      <c r="H7" s="58">
        <f t="shared" si="0"/>
        <v>50</v>
      </c>
      <c r="I7" s="58">
        <f t="shared" si="0"/>
        <v>1200</v>
      </c>
    </row>
    <row r="8" spans="2:9" ht="15.75" thickBot="1" x14ac:dyDescent="0.3">
      <c r="B8" s="17" t="s">
        <v>51</v>
      </c>
      <c r="C8" s="24">
        <f>C7</f>
        <v>40</v>
      </c>
      <c r="D8" s="24">
        <f>C8+D7</f>
        <v>160</v>
      </c>
      <c r="E8" s="24">
        <f>D8+E7</f>
        <v>560</v>
      </c>
      <c r="F8" s="24">
        <f>E8+F7</f>
        <v>990</v>
      </c>
      <c r="G8" s="58">
        <f>F8+G7</f>
        <v>1150</v>
      </c>
      <c r="H8" s="58">
        <f>G8+H7</f>
        <v>1200</v>
      </c>
      <c r="I8" s="58"/>
    </row>
    <row r="9" spans="2:9" ht="16.5" customHeight="1" thickBot="1" x14ac:dyDescent="0.3"/>
    <row r="10" spans="2:9" ht="31.5" customHeight="1" x14ac:dyDescent="0.25">
      <c r="B10" s="135" t="s">
        <v>26</v>
      </c>
      <c r="C10" s="128" t="s">
        <v>137</v>
      </c>
      <c r="D10" s="133" t="s">
        <v>138</v>
      </c>
      <c r="E10" s="133" t="s">
        <v>87</v>
      </c>
      <c r="F10" s="133" t="s">
        <v>88</v>
      </c>
    </row>
    <row r="11" spans="2:9" ht="15.75" customHeight="1" thickBot="1" x14ac:dyDescent="0.3">
      <c r="B11" s="136"/>
      <c r="C11" s="129"/>
      <c r="D11" s="134"/>
      <c r="E11" s="134"/>
      <c r="F11" s="134"/>
    </row>
    <row r="12" spans="2:9" ht="16.5" thickBot="1" x14ac:dyDescent="0.3">
      <c r="B12" s="30" t="s">
        <v>178</v>
      </c>
      <c r="C12" s="33">
        <v>100</v>
      </c>
      <c r="D12" s="31">
        <v>70</v>
      </c>
      <c r="E12" s="31">
        <v>60</v>
      </c>
      <c r="F12" s="31">
        <v>60</v>
      </c>
    </row>
    <row r="13" spans="2:9" ht="26.25" thickBot="1" x14ac:dyDescent="0.3">
      <c r="B13" s="3" t="s">
        <v>179</v>
      </c>
      <c r="C13" s="97">
        <v>90</v>
      </c>
      <c r="D13" s="32">
        <v>540</v>
      </c>
      <c r="E13" s="32">
        <v>420</v>
      </c>
      <c r="F13" s="32">
        <f>E13*0.9</f>
        <v>378</v>
      </c>
    </row>
    <row r="14" spans="2:9" ht="16.5" thickBot="1" x14ac:dyDescent="0.3">
      <c r="B14" s="3" t="s">
        <v>180</v>
      </c>
      <c r="C14" s="97">
        <v>30</v>
      </c>
      <c r="D14" s="32">
        <v>210</v>
      </c>
      <c r="E14" s="32">
        <v>480</v>
      </c>
      <c r="F14" s="32">
        <f>E14*0.3</f>
        <v>144</v>
      </c>
    </row>
    <row r="15" spans="2:9" ht="16.5" thickBot="1" x14ac:dyDescent="0.3">
      <c r="B15" s="3" t="s">
        <v>181</v>
      </c>
      <c r="C15" s="97">
        <v>0</v>
      </c>
      <c r="D15" s="32">
        <v>0</v>
      </c>
      <c r="E15" s="32">
        <v>30</v>
      </c>
      <c r="F15" s="32">
        <v>0</v>
      </c>
    </row>
    <row r="17" spans="2:11" ht="15.75" thickBot="1" x14ac:dyDescent="0.3"/>
    <row r="18" spans="2:11" ht="16.5" thickBot="1" x14ac:dyDescent="0.3">
      <c r="B18" s="135" t="s">
        <v>26</v>
      </c>
      <c r="C18" s="133" t="s">
        <v>139</v>
      </c>
      <c r="D18" s="133" t="s">
        <v>140</v>
      </c>
      <c r="E18" s="133" t="s">
        <v>141</v>
      </c>
      <c r="F18" s="130" t="s">
        <v>142</v>
      </c>
      <c r="G18" s="131"/>
      <c r="H18" s="130" t="s">
        <v>143</v>
      </c>
      <c r="I18" s="131"/>
      <c r="J18" s="130" t="s">
        <v>144</v>
      </c>
      <c r="K18" s="131"/>
    </row>
    <row r="19" spans="2:11" ht="76.5" customHeight="1" thickBot="1" x14ac:dyDescent="0.3">
      <c r="B19" s="136"/>
      <c r="C19" s="134"/>
      <c r="D19" s="134"/>
      <c r="E19" s="134"/>
      <c r="F19" s="19" t="s">
        <v>145</v>
      </c>
      <c r="G19" s="19" t="s">
        <v>146</v>
      </c>
      <c r="H19" s="19" t="s">
        <v>147</v>
      </c>
      <c r="I19" s="19" t="s">
        <v>148</v>
      </c>
      <c r="J19" s="19" t="s">
        <v>149</v>
      </c>
      <c r="K19" s="19" t="s">
        <v>150</v>
      </c>
    </row>
    <row r="20" spans="2:11" ht="16.5" thickBot="1" x14ac:dyDescent="0.3">
      <c r="B20" s="30" t="s">
        <v>178</v>
      </c>
      <c r="C20" s="26">
        <v>60</v>
      </c>
      <c r="D20" s="26">
        <v>60</v>
      </c>
      <c r="E20" s="26">
        <v>70</v>
      </c>
      <c r="F20" s="22">
        <f>D20-E20</f>
        <v>-10</v>
      </c>
      <c r="G20" s="26">
        <f>D20-C20</f>
        <v>0</v>
      </c>
      <c r="H20" s="28">
        <f>D20/E20</f>
        <v>0.8571428571428571</v>
      </c>
      <c r="I20" s="19">
        <f>D20/C20</f>
        <v>1</v>
      </c>
      <c r="J20" s="22" t="s">
        <v>151</v>
      </c>
      <c r="K20" s="19" t="s">
        <v>152</v>
      </c>
    </row>
    <row r="21" spans="2:11" ht="26.25" thickBot="1" x14ac:dyDescent="0.3">
      <c r="B21" s="3" t="s">
        <v>179</v>
      </c>
      <c r="C21" s="26">
        <v>420</v>
      </c>
      <c r="D21" s="26">
        <v>378</v>
      </c>
      <c r="E21" s="26">
        <v>540</v>
      </c>
      <c r="F21" s="22">
        <f>D21-E21</f>
        <v>-162</v>
      </c>
      <c r="G21" s="22">
        <f>D21-C21</f>
        <v>-42</v>
      </c>
      <c r="H21" s="28">
        <f>D21/E21</f>
        <v>0.7</v>
      </c>
      <c r="I21" s="28">
        <f>D21/C21</f>
        <v>0.9</v>
      </c>
      <c r="J21" s="22" t="s">
        <v>151</v>
      </c>
      <c r="K21" s="22" t="s">
        <v>153</v>
      </c>
    </row>
    <row r="22" spans="2:11" ht="16.5" thickBot="1" x14ac:dyDescent="0.3">
      <c r="B22" s="3" t="s">
        <v>180</v>
      </c>
      <c r="C22" s="26">
        <v>480</v>
      </c>
      <c r="D22" s="26">
        <v>144</v>
      </c>
      <c r="E22" s="26">
        <v>210</v>
      </c>
      <c r="F22" s="22">
        <f>D22-E22</f>
        <v>-66</v>
      </c>
      <c r="G22" s="22">
        <f>D22-C22</f>
        <v>-336</v>
      </c>
      <c r="H22" s="28">
        <f>D22/E22</f>
        <v>0.68571428571428572</v>
      </c>
      <c r="I22" s="28">
        <f>D22/C22</f>
        <v>0.3</v>
      </c>
      <c r="J22" s="22" t="s">
        <v>151</v>
      </c>
      <c r="K22" s="22" t="s">
        <v>153</v>
      </c>
    </row>
    <row r="23" spans="2:11" ht="16.5" thickBot="1" x14ac:dyDescent="0.3">
      <c r="B23" s="3" t="s">
        <v>181</v>
      </c>
      <c r="C23" s="26">
        <v>30</v>
      </c>
      <c r="D23" s="26">
        <v>0</v>
      </c>
      <c r="E23" s="26">
        <v>0</v>
      </c>
      <c r="F23" s="26">
        <f>D23-E23</f>
        <v>0</v>
      </c>
      <c r="G23" s="22">
        <f>D23-C23</f>
        <v>-30</v>
      </c>
      <c r="H23" s="27" t="e">
        <f>D23/E23</f>
        <v>#DIV/0!</v>
      </c>
      <c r="I23" s="27">
        <f>D23/C23</f>
        <v>0</v>
      </c>
      <c r="J23" s="19" t="s">
        <v>154</v>
      </c>
      <c r="K23" s="22" t="s">
        <v>153</v>
      </c>
    </row>
    <row r="24" spans="2:11" ht="19.5" thickBot="1" x14ac:dyDescent="0.3">
      <c r="B24" s="96" t="s">
        <v>34</v>
      </c>
      <c r="C24" s="74">
        <f>SUM(C20:C23)</f>
        <v>990</v>
      </c>
      <c r="D24" s="74">
        <f>SUM(D20:D23)</f>
        <v>582</v>
      </c>
      <c r="E24" s="74">
        <f>SUM(E20:E23)</f>
        <v>820</v>
      </c>
      <c r="F24" s="75">
        <f>D24-E24</f>
        <v>-238</v>
      </c>
      <c r="G24" s="75">
        <f>D24-C24</f>
        <v>-408</v>
      </c>
      <c r="H24" s="76">
        <f>D24/E24</f>
        <v>0.70975609756097557</v>
      </c>
      <c r="I24" s="76">
        <f>D24/C24</f>
        <v>0.58787878787878789</v>
      </c>
      <c r="J24" s="77" t="s">
        <v>151</v>
      </c>
      <c r="K24" s="77" t="s">
        <v>153</v>
      </c>
    </row>
    <row r="25" spans="2:11" ht="16.5" thickBot="1" x14ac:dyDescent="0.3">
      <c r="B25" s="25"/>
    </row>
    <row r="26" spans="2:11" ht="19.5" thickBot="1" x14ac:dyDescent="0.35">
      <c r="B26" s="130" t="s">
        <v>155</v>
      </c>
      <c r="C26" s="132"/>
      <c r="D26" s="131"/>
      <c r="F26" s="72" t="s">
        <v>182</v>
      </c>
    </row>
    <row r="27" spans="2:11" ht="45.75" customHeight="1" thickBot="1" x14ac:dyDescent="0.4">
      <c r="B27" s="96" t="s">
        <v>156</v>
      </c>
      <c r="C27" s="19" t="s">
        <v>157</v>
      </c>
      <c r="D27" s="19" t="s">
        <v>158</v>
      </c>
      <c r="F27" s="78" t="s">
        <v>183</v>
      </c>
      <c r="G27" s="79"/>
      <c r="H27" s="79"/>
      <c r="I27" s="79"/>
    </row>
    <row r="28" spans="2:11" ht="23.25" x14ac:dyDescent="0.35">
      <c r="B28" s="139">
        <v>1200</v>
      </c>
      <c r="C28" s="141">
        <f>(B28-D24)/H24</f>
        <v>870.7216494845361</v>
      </c>
      <c r="D28" s="141">
        <f>E24+C28</f>
        <v>1690.7216494845361</v>
      </c>
      <c r="F28" s="78" t="s">
        <v>184</v>
      </c>
      <c r="G28" s="79"/>
      <c r="H28" s="79"/>
      <c r="I28" s="79"/>
    </row>
    <row r="29" spans="2:11" ht="24" thickBot="1" x14ac:dyDescent="0.4">
      <c r="B29" s="140"/>
      <c r="C29" s="142"/>
      <c r="D29" s="142"/>
      <c r="F29" s="79"/>
      <c r="G29" s="79"/>
      <c r="H29" s="79"/>
      <c r="I29" s="79"/>
    </row>
    <row r="30" spans="2:11" ht="15.75" x14ac:dyDescent="0.25">
      <c r="B30" s="25"/>
      <c r="D30" s="57"/>
    </row>
    <row r="31" spans="2:11" x14ac:dyDescent="0.25">
      <c r="B31" t="s">
        <v>185</v>
      </c>
      <c r="C31" s="34"/>
    </row>
    <row r="32" spans="2:11" x14ac:dyDescent="0.25">
      <c r="B32" t="s">
        <v>186</v>
      </c>
    </row>
    <row r="33" spans="2:3" x14ac:dyDescent="0.25">
      <c r="B33" t="s">
        <v>187</v>
      </c>
      <c r="C33" s="57"/>
    </row>
    <row r="34" spans="2:3" x14ac:dyDescent="0.25">
      <c r="B34" t="s">
        <v>188</v>
      </c>
    </row>
    <row r="35" spans="2:3" x14ac:dyDescent="0.25">
      <c r="B35" t="s">
        <v>189</v>
      </c>
    </row>
    <row r="36" spans="2:3" x14ac:dyDescent="0.25">
      <c r="B36" t="s">
        <v>190</v>
      </c>
    </row>
  </sheetData>
  <mergeCells count="16">
    <mergeCell ref="B28:B29"/>
    <mergeCell ref="C28:C29"/>
    <mergeCell ref="D28:D29"/>
    <mergeCell ref="B18:B19"/>
    <mergeCell ref="C18:C19"/>
    <mergeCell ref="D18:D19"/>
    <mergeCell ref="E10:E11"/>
    <mergeCell ref="F10:F11"/>
    <mergeCell ref="H18:I18"/>
    <mergeCell ref="J18:K18"/>
    <mergeCell ref="B26:D26"/>
    <mergeCell ref="E18:E19"/>
    <mergeCell ref="F18:G18"/>
    <mergeCell ref="B10:B11"/>
    <mergeCell ref="C10:C11"/>
    <mergeCell ref="D10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zoomScale="130" zoomScaleNormal="130" workbookViewId="0">
      <selection activeCell="J14" sqref="J14"/>
    </sheetView>
  </sheetViews>
  <sheetFormatPr defaultRowHeight="15" x14ac:dyDescent="0.25"/>
  <cols>
    <col min="1" max="1" width="3.7109375" customWidth="1"/>
    <col min="2" max="2" width="38.7109375" bestFit="1" customWidth="1"/>
    <col min="3" max="4" width="20.5703125" customWidth="1"/>
    <col min="5" max="5" width="12.5703125" customWidth="1"/>
    <col min="6" max="6" width="19.42578125" customWidth="1"/>
  </cols>
  <sheetData>
    <row r="1" spans="2:6" ht="15.75" thickBot="1" x14ac:dyDescent="0.3">
      <c r="B1" s="62" t="s">
        <v>11</v>
      </c>
      <c r="C1" s="63" t="s">
        <v>12</v>
      </c>
      <c r="D1" s="66" t="s">
        <v>13</v>
      </c>
      <c r="E1" s="66" t="s">
        <v>14</v>
      </c>
      <c r="F1" s="66" t="s">
        <v>15</v>
      </c>
    </row>
    <row r="2" spans="2:6" ht="15.75" thickBot="1" x14ac:dyDescent="0.3">
      <c r="B2" s="48" t="s">
        <v>16</v>
      </c>
      <c r="C2" s="65">
        <v>150000</v>
      </c>
      <c r="D2" s="64" t="s">
        <v>8</v>
      </c>
      <c r="E2" s="67">
        <v>1</v>
      </c>
      <c r="F2" s="70">
        <f>C2*E2</f>
        <v>150000</v>
      </c>
    </row>
    <row r="3" spans="2:6" ht="15.75" thickBot="1" x14ac:dyDescent="0.3">
      <c r="B3" s="48" t="s">
        <v>17</v>
      </c>
      <c r="C3" s="65">
        <v>1400000</v>
      </c>
      <c r="D3" s="64" t="s">
        <v>8</v>
      </c>
      <c r="E3" s="67">
        <v>1</v>
      </c>
      <c r="F3" s="70">
        <f t="shared" ref="F3:F5" si="0">C3*E3</f>
        <v>1400000</v>
      </c>
    </row>
    <row r="4" spans="2:6" ht="15.75" thickBot="1" x14ac:dyDescent="0.3">
      <c r="B4" s="48" t="s">
        <v>18</v>
      </c>
      <c r="C4" s="65">
        <v>50000</v>
      </c>
      <c r="D4" s="64" t="s">
        <v>9</v>
      </c>
      <c r="E4" s="67">
        <v>120</v>
      </c>
      <c r="F4" s="70">
        <f t="shared" si="0"/>
        <v>6000000</v>
      </c>
    </row>
    <row r="5" spans="2:6" ht="15.75" thickBot="1" x14ac:dyDescent="0.3">
      <c r="B5" s="48" t="s">
        <v>19</v>
      </c>
      <c r="C5" s="65">
        <v>80000</v>
      </c>
      <c r="D5" s="64" t="s">
        <v>9</v>
      </c>
      <c r="E5" s="67">
        <v>120</v>
      </c>
      <c r="F5" s="70">
        <f t="shared" si="0"/>
        <v>9600000</v>
      </c>
    </row>
    <row r="6" spans="2:6" ht="15.75" thickBot="1" x14ac:dyDescent="0.3">
      <c r="B6" s="123" t="s">
        <v>20</v>
      </c>
      <c r="C6" s="123"/>
      <c r="D6" s="123"/>
      <c r="E6" s="123"/>
      <c r="F6" s="71">
        <f>SUM(F2:F5)</f>
        <v>17150000</v>
      </c>
    </row>
    <row r="7" spans="2:6" ht="15.75" thickBot="1" x14ac:dyDescent="0.3"/>
    <row r="8" spans="2:6" ht="15.75" thickBot="1" x14ac:dyDescent="0.3">
      <c r="B8" s="62" t="s">
        <v>11</v>
      </c>
      <c r="C8" s="63" t="s">
        <v>12</v>
      </c>
      <c r="D8" s="66" t="s">
        <v>13</v>
      </c>
      <c r="E8" s="66" t="s">
        <v>14</v>
      </c>
      <c r="F8" s="66" t="s">
        <v>15</v>
      </c>
    </row>
    <row r="9" spans="2:6" ht="15.75" thickBot="1" x14ac:dyDescent="0.3">
      <c r="B9" s="48" t="s">
        <v>16</v>
      </c>
      <c r="C9" s="65">
        <v>300000</v>
      </c>
      <c r="D9" s="64" t="s">
        <v>8</v>
      </c>
      <c r="E9" s="67">
        <v>1</v>
      </c>
      <c r="F9" s="70">
        <f>C9*E9</f>
        <v>300000</v>
      </c>
    </row>
    <row r="10" spans="2:6" ht="15.75" thickBot="1" x14ac:dyDescent="0.3">
      <c r="B10" s="48" t="s">
        <v>17</v>
      </c>
      <c r="C10" s="65">
        <v>3800000</v>
      </c>
      <c r="D10" s="64" t="s">
        <v>8</v>
      </c>
      <c r="E10" s="67">
        <v>1</v>
      </c>
      <c r="F10" s="70">
        <f t="shared" ref="F10:F12" si="1">C10*E10</f>
        <v>3800000</v>
      </c>
    </row>
    <row r="11" spans="2:6" ht="15.75" thickBot="1" x14ac:dyDescent="0.3">
      <c r="B11" s="48" t="s">
        <v>18</v>
      </c>
      <c r="C11" s="65">
        <v>40000</v>
      </c>
      <c r="D11" s="64" t="s">
        <v>9</v>
      </c>
      <c r="E11" s="67">
        <v>120</v>
      </c>
      <c r="F11" s="70">
        <f t="shared" si="1"/>
        <v>4800000</v>
      </c>
    </row>
    <row r="12" spans="2:6" ht="15.75" thickBot="1" x14ac:dyDescent="0.3">
      <c r="B12" s="48" t="s">
        <v>19</v>
      </c>
      <c r="C12" s="65">
        <v>60000</v>
      </c>
      <c r="D12" s="64" t="s">
        <v>9</v>
      </c>
      <c r="E12" s="67">
        <v>120</v>
      </c>
      <c r="F12" s="70">
        <f t="shared" si="1"/>
        <v>7200000</v>
      </c>
    </row>
    <row r="13" spans="2:6" ht="15.75" thickBot="1" x14ac:dyDescent="0.3">
      <c r="B13" s="123" t="s">
        <v>21</v>
      </c>
      <c r="C13" s="123"/>
      <c r="D13" s="123"/>
      <c r="E13" s="123"/>
      <c r="F13" s="71">
        <f>SUM(F9:F12)</f>
        <v>16100000</v>
      </c>
    </row>
    <row r="14" spans="2:6" ht="15.75" thickBot="1" x14ac:dyDescent="0.3"/>
    <row r="15" spans="2:6" ht="15.75" thickBot="1" x14ac:dyDescent="0.3">
      <c r="B15" s="62" t="s">
        <v>11</v>
      </c>
      <c r="C15" s="63" t="s">
        <v>12</v>
      </c>
      <c r="D15" s="66" t="s">
        <v>13</v>
      </c>
      <c r="E15" s="66" t="s">
        <v>14</v>
      </c>
      <c r="F15" s="66" t="s">
        <v>15</v>
      </c>
    </row>
    <row r="16" spans="2:6" ht="15.75" thickBot="1" x14ac:dyDescent="0.3">
      <c r="B16" s="48" t="s">
        <v>16</v>
      </c>
      <c r="C16" s="65">
        <v>50000</v>
      </c>
      <c r="D16" s="64" t="s">
        <v>8</v>
      </c>
      <c r="E16" s="67">
        <v>1</v>
      </c>
      <c r="F16" s="70">
        <f>C16*E16</f>
        <v>50000</v>
      </c>
    </row>
    <row r="17" spans="2:6" ht="15.75" thickBot="1" x14ac:dyDescent="0.3">
      <c r="B17" s="48" t="s">
        <v>22</v>
      </c>
      <c r="C17" s="65">
        <v>100000</v>
      </c>
      <c r="D17" s="64" t="s">
        <v>9</v>
      </c>
      <c r="E17" s="67">
        <v>120</v>
      </c>
      <c r="F17" s="70">
        <f>C17*E17</f>
        <v>12000000</v>
      </c>
    </row>
    <row r="18" spans="2:6" ht="15.75" thickBot="1" x14ac:dyDescent="0.3">
      <c r="B18" s="48" t="s">
        <v>23</v>
      </c>
      <c r="C18" s="68" t="s">
        <v>24</v>
      </c>
      <c r="D18" s="69" t="s">
        <v>9</v>
      </c>
      <c r="E18" s="67"/>
      <c r="F18" s="67"/>
    </row>
    <row r="19" spans="2:6" ht="15.75" thickBot="1" x14ac:dyDescent="0.3">
      <c r="B19" s="48" t="s">
        <v>19</v>
      </c>
      <c r="C19" s="65">
        <v>50000</v>
      </c>
      <c r="D19" s="64" t="s">
        <v>9</v>
      </c>
      <c r="E19" s="67">
        <v>120</v>
      </c>
      <c r="F19" s="70">
        <f>E19*C19</f>
        <v>6000000</v>
      </c>
    </row>
    <row r="20" spans="2:6" ht="15.75" thickBot="1" x14ac:dyDescent="0.3">
      <c r="B20" s="123" t="s">
        <v>25</v>
      </c>
      <c r="C20" s="123"/>
      <c r="D20" s="123"/>
      <c r="E20" s="123"/>
      <c r="F20" s="71">
        <f>SUM(F16:F19)</f>
        <v>18050000</v>
      </c>
    </row>
  </sheetData>
  <mergeCells count="3">
    <mergeCell ref="B6:E6"/>
    <mergeCell ref="B13:E13"/>
    <mergeCell ref="B20:E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14"/>
  <sheetViews>
    <sheetView zoomScale="120" zoomScaleNormal="120" workbookViewId="0">
      <pane xSplit="3" topLeftCell="D1" activePane="topRight" state="frozen"/>
      <selection pane="topRight" activeCell="F8" sqref="F8"/>
    </sheetView>
  </sheetViews>
  <sheetFormatPr defaultRowHeight="15" x14ac:dyDescent="0.25"/>
  <cols>
    <col min="1" max="1" width="17.140625" customWidth="1"/>
    <col min="2" max="2" width="18.28515625" customWidth="1"/>
    <col min="3" max="3" width="8.140625" customWidth="1"/>
    <col min="4" max="8" width="17.5703125" bestFit="1" customWidth="1"/>
    <col min="9" max="9" width="18" customWidth="1"/>
  </cols>
  <sheetData>
    <row r="3" spans="1:9" ht="15.75" thickBot="1" x14ac:dyDescent="0.3"/>
    <row r="4" spans="1:9" ht="23.25" thickBot="1" x14ac:dyDescent="0.3">
      <c r="A4" s="15" t="s">
        <v>26</v>
      </c>
      <c r="B4" s="36" t="s">
        <v>27</v>
      </c>
      <c r="C4" s="36" t="s">
        <v>28</v>
      </c>
      <c r="D4" s="36" t="s">
        <v>29</v>
      </c>
      <c r="E4" s="36" t="s">
        <v>30</v>
      </c>
      <c r="F4" s="36" t="s">
        <v>31</v>
      </c>
      <c r="G4" s="36" t="s">
        <v>32</v>
      </c>
      <c r="H4" s="36" t="s">
        <v>33</v>
      </c>
      <c r="I4" s="36" t="s">
        <v>34</v>
      </c>
    </row>
    <row r="5" spans="1:9" ht="47.25" customHeight="1" thickBot="1" x14ac:dyDescent="0.3">
      <c r="A5" s="37" t="s">
        <v>35</v>
      </c>
      <c r="B5" s="60" t="s">
        <v>36</v>
      </c>
      <c r="C5" s="61" t="s">
        <v>37</v>
      </c>
      <c r="D5" s="95">
        <f>(45*40)+(90*40)+(120*40)</f>
        <v>10200</v>
      </c>
      <c r="E5" s="39"/>
      <c r="F5" s="39"/>
      <c r="G5" s="39"/>
      <c r="H5" s="39"/>
      <c r="I5" s="41">
        <f t="shared" ref="I5:I11" si="0">SUM(D5:H5)</f>
        <v>10200</v>
      </c>
    </row>
    <row r="6" spans="1:9" ht="29.25" customHeight="1" thickBot="1" x14ac:dyDescent="0.3">
      <c r="A6" s="37" t="s">
        <v>38</v>
      </c>
      <c r="B6" s="60" t="s">
        <v>39</v>
      </c>
      <c r="C6" s="61">
        <v>70</v>
      </c>
      <c r="D6" s="39"/>
      <c r="E6" s="95">
        <f>C6*40</f>
        <v>2800</v>
      </c>
      <c r="F6" s="39"/>
      <c r="G6" s="39"/>
      <c r="H6" s="39"/>
      <c r="I6" s="41">
        <f t="shared" si="0"/>
        <v>2800</v>
      </c>
    </row>
    <row r="7" spans="1:9" ht="26.25" thickBot="1" x14ac:dyDescent="0.3">
      <c r="A7" s="37" t="s">
        <v>40</v>
      </c>
      <c r="B7" s="60" t="s">
        <v>41</v>
      </c>
      <c r="C7" s="61">
        <v>45</v>
      </c>
      <c r="D7" s="39"/>
      <c r="E7" s="39"/>
      <c r="F7" s="95">
        <f>C7*40</f>
        <v>1800</v>
      </c>
      <c r="G7" s="39"/>
      <c r="H7" s="39"/>
      <c r="I7" s="41">
        <f t="shared" si="0"/>
        <v>1800</v>
      </c>
    </row>
    <row r="8" spans="1:9" ht="40.5" customHeight="1" thickBot="1" x14ac:dyDescent="0.3">
      <c r="A8" s="37" t="s">
        <v>42</v>
      </c>
      <c r="B8" s="60" t="s">
        <v>43</v>
      </c>
      <c r="C8" s="61" t="s">
        <v>44</v>
      </c>
      <c r="D8" s="39"/>
      <c r="E8" s="39"/>
      <c r="F8" s="39"/>
      <c r="G8" s="95">
        <f>(90*40)+(120*40)</f>
        <v>8400</v>
      </c>
      <c r="H8" s="39"/>
      <c r="I8" s="41">
        <f t="shared" si="0"/>
        <v>8400</v>
      </c>
    </row>
    <row r="9" spans="1:9" ht="15.75" thickBot="1" x14ac:dyDescent="0.3">
      <c r="A9" s="37" t="s">
        <v>16</v>
      </c>
      <c r="B9" s="60" t="s">
        <v>45</v>
      </c>
      <c r="C9" s="61">
        <v>90</v>
      </c>
      <c r="D9" s="39"/>
      <c r="E9" s="39"/>
      <c r="F9" s="39"/>
      <c r="G9" s="39"/>
      <c r="H9" s="95">
        <f>C9*40</f>
        <v>3600</v>
      </c>
      <c r="I9" s="41">
        <f t="shared" si="0"/>
        <v>3600</v>
      </c>
    </row>
    <row r="10" spans="1:9" ht="26.25" thickBot="1" x14ac:dyDescent="0.3">
      <c r="A10" s="37" t="s">
        <v>46</v>
      </c>
      <c r="B10" s="60" t="s">
        <v>47</v>
      </c>
      <c r="C10" s="61">
        <v>150</v>
      </c>
      <c r="D10" s="95">
        <f>(150*2)</f>
        <v>300</v>
      </c>
      <c r="E10" s="95">
        <f t="shared" ref="E10:H10" si="1">(150*2)</f>
        <v>300</v>
      </c>
      <c r="F10" s="95">
        <f t="shared" si="1"/>
        <v>300</v>
      </c>
      <c r="G10" s="95">
        <f t="shared" si="1"/>
        <v>300</v>
      </c>
      <c r="H10" s="95">
        <f t="shared" si="1"/>
        <v>300</v>
      </c>
      <c r="I10" s="41">
        <f t="shared" si="0"/>
        <v>1500</v>
      </c>
    </row>
    <row r="11" spans="1:9" ht="28.5" customHeight="1" thickBot="1" x14ac:dyDescent="0.3">
      <c r="A11" s="37" t="s">
        <v>48</v>
      </c>
      <c r="B11" s="60" t="s">
        <v>49</v>
      </c>
      <c r="C11" s="61">
        <v>180</v>
      </c>
      <c r="D11" s="95">
        <f>$C$11*4</f>
        <v>720</v>
      </c>
      <c r="E11" s="95">
        <f t="shared" ref="E11:H11" si="2">$C$11*4</f>
        <v>720</v>
      </c>
      <c r="F11" s="95">
        <f t="shared" si="2"/>
        <v>720</v>
      </c>
      <c r="G11" s="95">
        <f t="shared" si="2"/>
        <v>720</v>
      </c>
      <c r="H11" s="95">
        <f t="shared" si="2"/>
        <v>720</v>
      </c>
      <c r="I11" s="41">
        <f t="shared" si="0"/>
        <v>3600</v>
      </c>
    </row>
    <row r="12" spans="1:9" ht="15.75" thickBot="1" x14ac:dyDescent="0.3">
      <c r="A12" s="17" t="s">
        <v>50</v>
      </c>
      <c r="B12" s="43"/>
      <c r="C12" s="43"/>
      <c r="D12" s="40">
        <f>SUM(D5:D11)</f>
        <v>11220</v>
      </c>
      <c r="E12" s="40">
        <f t="shared" ref="E12:H12" si="3">SUM(E5:E11)</f>
        <v>3820</v>
      </c>
      <c r="F12" s="40">
        <f t="shared" si="3"/>
        <v>2820</v>
      </c>
      <c r="G12" s="40">
        <f t="shared" si="3"/>
        <v>9420</v>
      </c>
      <c r="H12" s="40">
        <f t="shared" si="3"/>
        <v>4620</v>
      </c>
      <c r="I12" s="41">
        <f>SUM(I5:I11)</f>
        <v>31900</v>
      </c>
    </row>
    <row r="13" spans="1:9" ht="26.25" thickBot="1" x14ac:dyDescent="0.3">
      <c r="A13" s="17" t="s">
        <v>51</v>
      </c>
      <c r="B13" s="43"/>
      <c r="C13" s="43"/>
      <c r="D13" s="40">
        <f>D12</f>
        <v>11220</v>
      </c>
      <c r="E13" s="40">
        <f>E12+D13</f>
        <v>15040</v>
      </c>
      <c r="F13" s="40">
        <f>F12+E13</f>
        <v>17860</v>
      </c>
      <c r="G13" s="40">
        <f>G12+F13</f>
        <v>27280</v>
      </c>
      <c r="H13" s="40">
        <f>H12+G13</f>
        <v>31900</v>
      </c>
      <c r="I13" s="42"/>
    </row>
    <row r="14" spans="1:9" x14ac:dyDescent="0.25">
      <c r="A14" s="3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22"/>
  <sheetViews>
    <sheetView zoomScale="90" zoomScaleNormal="90" workbookViewId="0">
      <selection activeCell="B14" sqref="B14"/>
    </sheetView>
  </sheetViews>
  <sheetFormatPr defaultRowHeight="15" x14ac:dyDescent="0.25"/>
  <cols>
    <col min="2" max="2" width="39.7109375" customWidth="1"/>
    <col min="3" max="3" width="22.7109375" customWidth="1"/>
    <col min="4" max="5" width="25.5703125" customWidth="1"/>
    <col min="6" max="6" width="27.28515625" customWidth="1"/>
  </cols>
  <sheetData>
    <row r="1" spans="2:6" ht="15.75" thickBot="1" x14ac:dyDescent="0.3"/>
    <row r="2" spans="2:6" x14ac:dyDescent="0.25">
      <c r="B2" s="126" t="s">
        <v>52</v>
      </c>
      <c r="C2" s="49" t="s">
        <v>53</v>
      </c>
      <c r="D2" s="126" t="s">
        <v>54</v>
      </c>
      <c r="E2" s="126" t="s">
        <v>55</v>
      </c>
      <c r="F2" s="49" t="s">
        <v>56</v>
      </c>
    </row>
    <row r="3" spans="2:6" ht="15.75" thickBot="1" x14ac:dyDescent="0.3">
      <c r="B3" s="127"/>
      <c r="C3" s="50" t="s">
        <v>57</v>
      </c>
      <c r="D3" s="127"/>
      <c r="E3" s="127"/>
      <c r="F3" s="50" t="s">
        <v>57</v>
      </c>
    </row>
    <row r="4" spans="2:6" ht="24.95" customHeight="1" thickBot="1" x14ac:dyDescent="0.3">
      <c r="B4" s="92" t="s">
        <v>58</v>
      </c>
      <c r="C4" s="80">
        <v>145</v>
      </c>
      <c r="D4" s="80" t="s">
        <v>59</v>
      </c>
      <c r="E4" s="80">
        <v>22</v>
      </c>
      <c r="F4" s="82">
        <f>C4*E4</f>
        <v>3190</v>
      </c>
    </row>
    <row r="5" spans="2:6" ht="24.95" customHeight="1" thickBot="1" x14ac:dyDescent="0.3">
      <c r="B5" s="92" t="s">
        <v>60</v>
      </c>
      <c r="C5" s="80"/>
      <c r="D5" s="80"/>
      <c r="E5" s="80"/>
      <c r="F5" s="82"/>
    </row>
    <row r="6" spans="2:6" ht="24.95" customHeight="1" thickBot="1" x14ac:dyDescent="0.3">
      <c r="B6" s="93" t="s">
        <v>61</v>
      </c>
      <c r="C6" s="80">
        <v>45</v>
      </c>
      <c r="D6" s="80" t="s">
        <v>62</v>
      </c>
      <c r="E6" s="80">
        <v>22</v>
      </c>
      <c r="F6" s="82">
        <f>C6*E6</f>
        <v>990</v>
      </c>
    </row>
    <row r="7" spans="2:6" ht="24.95" customHeight="1" thickBot="1" x14ac:dyDescent="0.3">
      <c r="B7" s="93" t="s">
        <v>63</v>
      </c>
      <c r="C7" s="80">
        <v>65</v>
      </c>
      <c r="D7" s="80" t="s">
        <v>62</v>
      </c>
      <c r="E7" s="80">
        <v>22</v>
      </c>
      <c r="F7" s="82">
        <f>C7*E7</f>
        <v>1430</v>
      </c>
    </row>
    <row r="8" spans="2:6" ht="24.95" customHeight="1" thickBot="1" x14ac:dyDescent="0.3">
      <c r="B8" s="92" t="s">
        <v>64</v>
      </c>
      <c r="C8" s="80">
        <v>120</v>
      </c>
      <c r="D8" s="80" t="s">
        <v>65</v>
      </c>
      <c r="E8" s="80">
        <v>4</v>
      </c>
      <c r="F8" s="82">
        <f>C8*E8</f>
        <v>480</v>
      </c>
    </row>
    <row r="9" spans="2:6" ht="24.95" customHeight="1" thickBot="1" x14ac:dyDescent="0.3">
      <c r="B9" s="92" t="s">
        <v>66</v>
      </c>
      <c r="C9" s="80"/>
      <c r="D9" s="80"/>
      <c r="E9" s="80"/>
      <c r="F9" s="82"/>
    </row>
    <row r="10" spans="2:6" ht="24.95" customHeight="1" thickBot="1" x14ac:dyDescent="0.3">
      <c r="B10" s="94" t="s">
        <v>67</v>
      </c>
      <c r="C10" s="81">
        <v>5</v>
      </c>
      <c r="D10" s="81" t="s">
        <v>59</v>
      </c>
      <c r="E10" s="81">
        <v>22</v>
      </c>
      <c r="F10" s="83">
        <f>C10*E10</f>
        <v>110</v>
      </c>
    </row>
    <row r="11" spans="2:6" ht="24.95" customHeight="1" thickBot="1" x14ac:dyDescent="0.3">
      <c r="B11" s="93" t="s">
        <v>68</v>
      </c>
      <c r="C11" s="80">
        <v>30</v>
      </c>
      <c r="D11" s="80" t="s">
        <v>65</v>
      </c>
      <c r="E11" s="80">
        <v>4</v>
      </c>
      <c r="F11" s="83">
        <f>C11*E11</f>
        <v>120</v>
      </c>
    </row>
    <row r="12" spans="2:6" ht="24.95" customHeight="1" thickBot="1" x14ac:dyDescent="0.3">
      <c r="B12" s="92" t="s">
        <v>69</v>
      </c>
      <c r="C12" s="80">
        <v>60</v>
      </c>
      <c r="D12" s="80" t="s">
        <v>65</v>
      </c>
      <c r="E12" s="80">
        <v>4</v>
      </c>
      <c r="F12" s="82">
        <f>C12*E12</f>
        <v>240</v>
      </c>
    </row>
    <row r="13" spans="2:6" ht="24.95" customHeight="1" thickBot="1" x14ac:dyDescent="0.3">
      <c r="B13" s="51" t="s">
        <v>70</v>
      </c>
      <c r="C13" s="52"/>
      <c r="D13" s="52"/>
      <c r="E13" s="84"/>
      <c r="F13" s="85">
        <f>SUM(F4:F12)</f>
        <v>6560</v>
      </c>
    </row>
    <row r="14" spans="2:6" ht="15.75" thickBot="1" x14ac:dyDescent="0.3"/>
    <row r="15" spans="2:6" x14ac:dyDescent="0.25">
      <c r="B15" s="126" t="s">
        <v>71</v>
      </c>
      <c r="C15" s="49" t="s">
        <v>53</v>
      </c>
      <c r="D15" s="126" t="s">
        <v>54</v>
      </c>
      <c r="E15" s="126" t="s">
        <v>55</v>
      </c>
      <c r="F15" s="49" t="s">
        <v>56</v>
      </c>
    </row>
    <row r="16" spans="2:6" ht="15.75" thickBot="1" x14ac:dyDescent="0.3">
      <c r="B16" s="127"/>
      <c r="C16" s="50" t="s">
        <v>57</v>
      </c>
      <c r="D16" s="127"/>
      <c r="E16" s="127"/>
      <c r="F16" s="50" t="s">
        <v>57</v>
      </c>
    </row>
    <row r="17" spans="2:6" ht="18.75" thickBot="1" x14ac:dyDescent="0.3">
      <c r="B17" s="86" t="s">
        <v>72</v>
      </c>
      <c r="C17" s="80">
        <v>900</v>
      </c>
      <c r="D17" s="80" t="s">
        <v>73</v>
      </c>
      <c r="E17" s="80">
        <v>1</v>
      </c>
      <c r="F17" s="82">
        <f>C17*E17</f>
        <v>900</v>
      </c>
    </row>
    <row r="18" spans="2:6" ht="18.75" thickBot="1" x14ac:dyDescent="0.3">
      <c r="B18" s="86" t="s">
        <v>74</v>
      </c>
      <c r="C18" s="80">
        <v>150</v>
      </c>
      <c r="D18" s="80" t="s">
        <v>65</v>
      </c>
      <c r="E18" s="80">
        <v>4</v>
      </c>
      <c r="F18" s="82">
        <f>C18*E18</f>
        <v>600</v>
      </c>
    </row>
    <row r="19" spans="2:6" ht="18.75" thickBot="1" x14ac:dyDescent="0.3">
      <c r="B19" s="86" t="s">
        <v>75</v>
      </c>
      <c r="C19" s="80">
        <v>25</v>
      </c>
      <c r="D19" s="80" t="s">
        <v>76</v>
      </c>
      <c r="E19" s="80">
        <v>22</v>
      </c>
      <c r="F19" s="82">
        <f>C19*E19</f>
        <v>550</v>
      </c>
    </row>
    <row r="20" spans="2:6" ht="18.75" thickBot="1" x14ac:dyDescent="0.3">
      <c r="B20" s="87" t="s">
        <v>77</v>
      </c>
      <c r="C20" s="88"/>
      <c r="D20" s="88"/>
      <c r="E20" s="88"/>
      <c r="F20" s="85">
        <f>SUM(F17:F19)</f>
        <v>2050</v>
      </c>
    </row>
    <row r="21" spans="2:6" ht="18.75" thickBot="1" x14ac:dyDescent="0.3">
      <c r="B21" s="86" t="s">
        <v>78</v>
      </c>
      <c r="C21" s="80">
        <v>7</v>
      </c>
      <c r="D21" s="80" t="s">
        <v>79</v>
      </c>
      <c r="E21" s="80"/>
      <c r="F21" s="89">
        <f>F20/C21</f>
        <v>292.85714285714283</v>
      </c>
    </row>
    <row r="22" spans="2:6" ht="18.75" thickBot="1" x14ac:dyDescent="0.3">
      <c r="B22" s="124" t="s">
        <v>80</v>
      </c>
      <c r="C22" s="125"/>
      <c r="D22" s="90">
        <f>F13+F21</f>
        <v>6852.8571428571431</v>
      </c>
      <c r="E22" s="91" t="s">
        <v>81</v>
      </c>
      <c r="F22" s="90">
        <f>(F13*7)+F20</f>
        <v>47970</v>
      </c>
    </row>
  </sheetData>
  <mergeCells count="7">
    <mergeCell ref="B22:C22"/>
    <mergeCell ref="B2:B3"/>
    <mergeCell ref="D2:D3"/>
    <mergeCell ref="E2:E3"/>
    <mergeCell ref="B15:B16"/>
    <mergeCell ref="D15:D16"/>
    <mergeCell ref="E15:E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2"/>
  <sheetViews>
    <sheetView zoomScale="150" zoomScaleNormal="150" workbookViewId="0">
      <selection activeCell="F13" sqref="F13"/>
    </sheetView>
  </sheetViews>
  <sheetFormatPr defaultRowHeight="15" x14ac:dyDescent="0.25"/>
  <cols>
    <col min="1" max="1" width="17.85546875" customWidth="1"/>
    <col min="2" max="2" width="19.42578125" customWidth="1"/>
    <col min="3" max="3" width="19.28515625" customWidth="1"/>
    <col min="4" max="4" width="17.85546875" customWidth="1"/>
    <col min="5" max="5" width="21.85546875" customWidth="1"/>
    <col min="6" max="6" width="19.28515625" bestFit="1" customWidth="1"/>
  </cols>
  <sheetData>
    <row r="2" spans="1:6" ht="15.75" thickBot="1" x14ac:dyDescent="0.3"/>
    <row r="3" spans="1:6" ht="15.75" thickBot="1" x14ac:dyDescent="0.3">
      <c r="A3" s="1" t="s">
        <v>82</v>
      </c>
      <c r="B3" s="2" t="s">
        <v>34</v>
      </c>
      <c r="C3" s="2" t="s">
        <v>83</v>
      </c>
      <c r="D3" s="2" t="s">
        <v>84</v>
      </c>
      <c r="E3" s="2" t="s">
        <v>85</v>
      </c>
      <c r="F3" s="2" t="s">
        <v>86</v>
      </c>
    </row>
    <row r="4" spans="1:6" ht="15.75" thickBot="1" x14ac:dyDescent="0.3">
      <c r="A4" s="3" t="s">
        <v>87</v>
      </c>
      <c r="B4" s="4">
        <f>SUM(C4:F4)</f>
        <v>210000</v>
      </c>
      <c r="C4" s="4">
        <v>50000</v>
      </c>
      <c r="D4" s="4">
        <v>20000</v>
      </c>
      <c r="E4" s="4">
        <v>30000</v>
      </c>
      <c r="F4" s="4">
        <v>110000</v>
      </c>
    </row>
    <row r="5" spans="1:6" ht="15.75" thickBot="1" x14ac:dyDescent="0.3">
      <c r="A5" s="3" t="s">
        <v>88</v>
      </c>
      <c r="B5" s="4">
        <f>SUM(C5:F5)</f>
        <v>200000</v>
      </c>
      <c r="C5" s="4">
        <v>30000</v>
      </c>
      <c r="D5" s="4">
        <v>20000</v>
      </c>
      <c r="E5" s="4">
        <v>50000</v>
      </c>
      <c r="F5" s="4">
        <v>100000</v>
      </c>
    </row>
    <row r="6" spans="1:6" ht="15.75" thickBot="1" x14ac:dyDescent="0.3">
      <c r="A6" s="3" t="s">
        <v>89</v>
      </c>
      <c r="B6" s="4">
        <f>SUM(C6:F6)</f>
        <v>210000</v>
      </c>
      <c r="C6" s="4">
        <v>40000</v>
      </c>
      <c r="D6" s="4">
        <v>20000</v>
      </c>
      <c r="E6" s="4">
        <v>40000</v>
      </c>
      <c r="F6" s="4">
        <v>110000</v>
      </c>
    </row>
    <row r="7" spans="1:6" ht="15.75" thickBot="1" x14ac:dyDescent="0.3">
      <c r="A7" s="3" t="s">
        <v>90</v>
      </c>
      <c r="B7" s="7">
        <f>B5-B4</f>
        <v>-10000</v>
      </c>
      <c r="C7" s="7">
        <f>C5-C4</f>
        <v>-20000</v>
      </c>
      <c r="D7" s="8">
        <f>D5-D4</f>
        <v>0</v>
      </c>
      <c r="E7" s="45">
        <f>E5-E4</f>
        <v>20000</v>
      </c>
      <c r="F7" s="7">
        <f>F5-F4</f>
        <v>-10000</v>
      </c>
    </row>
    <row r="8" spans="1:6" ht="27" customHeight="1" thickBot="1" x14ac:dyDescent="0.3">
      <c r="A8" s="3" t="s">
        <v>91</v>
      </c>
      <c r="B8" s="11">
        <f>B5/B4</f>
        <v>0.95238095238095233</v>
      </c>
      <c r="C8" s="11">
        <f>C5/C4</f>
        <v>0.6</v>
      </c>
      <c r="D8" s="5">
        <f>D5/D4</f>
        <v>1</v>
      </c>
      <c r="E8" s="12">
        <f>E5/E4</f>
        <v>1.6666666666666667</v>
      </c>
      <c r="F8" s="11">
        <f>F5/F4</f>
        <v>0.90909090909090906</v>
      </c>
    </row>
    <row r="9" spans="1:6" ht="49.5" customHeight="1" thickBot="1" x14ac:dyDescent="0.3">
      <c r="A9" s="3" t="s">
        <v>92</v>
      </c>
      <c r="B9" s="44" t="s">
        <v>93</v>
      </c>
      <c r="C9" s="44" t="s">
        <v>94</v>
      </c>
      <c r="D9" s="13" t="s">
        <v>95</v>
      </c>
      <c r="E9" s="46" t="s">
        <v>96</v>
      </c>
      <c r="F9" s="44" t="s">
        <v>97</v>
      </c>
    </row>
    <row r="10" spans="1:6" ht="15.75" thickBot="1" x14ac:dyDescent="0.3">
      <c r="A10" s="3" t="s">
        <v>98</v>
      </c>
      <c r="B10" s="7">
        <f>B5-B6</f>
        <v>-10000</v>
      </c>
      <c r="C10" s="7">
        <f>C5-C6</f>
        <v>-10000</v>
      </c>
      <c r="D10" s="4">
        <f>D5-D6</f>
        <v>0</v>
      </c>
      <c r="E10" s="9">
        <f>E5-E6</f>
        <v>10000</v>
      </c>
      <c r="F10" s="7">
        <f>F5-F6</f>
        <v>-10000</v>
      </c>
    </row>
    <row r="11" spans="1:6" ht="15.75" thickBot="1" x14ac:dyDescent="0.3">
      <c r="A11" s="3" t="s">
        <v>99</v>
      </c>
      <c r="B11" s="11">
        <f>B5/B6</f>
        <v>0.95238095238095233</v>
      </c>
      <c r="C11" s="11">
        <f>C5/C6</f>
        <v>0.75</v>
      </c>
      <c r="D11" s="6">
        <f t="shared" ref="D11:F11" si="0">D5/D6</f>
        <v>1</v>
      </c>
      <c r="E11" s="12">
        <f t="shared" si="0"/>
        <v>1.25</v>
      </c>
      <c r="F11" s="11">
        <f t="shared" si="0"/>
        <v>0.90909090909090906</v>
      </c>
    </row>
    <row r="12" spans="1:6" ht="61.5" customHeight="1" thickBot="1" x14ac:dyDescent="0.3">
      <c r="A12" s="3" t="s">
        <v>100</v>
      </c>
      <c r="B12" s="44" t="s">
        <v>101</v>
      </c>
      <c r="C12" s="44" t="s">
        <v>102</v>
      </c>
      <c r="D12" s="13" t="s">
        <v>103</v>
      </c>
      <c r="E12" s="46" t="s">
        <v>104</v>
      </c>
      <c r="F12" s="44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9"/>
  <sheetViews>
    <sheetView zoomScale="130" zoomScaleNormal="130" workbookViewId="0">
      <selection activeCell="D4" sqref="D4"/>
    </sheetView>
  </sheetViews>
  <sheetFormatPr defaultRowHeight="15" x14ac:dyDescent="0.25"/>
  <cols>
    <col min="2" max="2" width="23.28515625" style="53" bestFit="1" customWidth="1"/>
    <col min="3" max="3" width="21.7109375" customWidth="1"/>
    <col min="4" max="4" width="66.140625" style="113" customWidth="1"/>
  </cols>
  <sheetData>
    <row r="3" spans="1:4" ht="26.25" x14ac:dyDescent="0.4">
      <c r="A3" s="98" t="s">
        <v>87</v>
      </c>
      <c r="B3" s="99">
        <v>3000</v>
      </c>
      <c r="C3" s="109"/>
      <c r="D3" s="102"/>
    </row>
    <row r="4" spans="1:4" ht="26.25" x14ac:dyDescent="0.4">
      <c r="A4" s="98" t="s">
        <v>88</v>
      </c>
      <c r="B4" s="99">
        <v>2500</v>
      </c>
      <c r="C4" s="109"/>
      <c r="D4" s="102"/>
    </row>
    <row r="5" spans="1:4" ht="26.25" x14ac:dyDescent="0.4">
      <c r="A5" s="98" t="s">
        <v>89</v>
      </c>
      <c r="B5" s="99">
        <v>2800</v>
      </c>
      <c r="C5" s="109"/>
      <c r="D5" s="102"/>
    </row>
    <row r="6" spans="1:4" ht="26.25" x14ac:dyDescent="0.4">
      <c r="A6" s="98" t="s">
        <v>106</v>
      </c>
      <c r="B6" s="99" t="s">
        <v>107</v>
      </c>
      <c r="C6" s="100">
        <f>B4-B3</f>
        <v>-500</v>
      </c>
      <c r="D6" s="102" t="s">
        <v>191</v>
      </c>
    </row>
    <row r="7" spans="1:4" ht="52.5" x14ac:dyDescent="0.4">
      <c r="A7" s="98" t="s">
        <v>108</v>
      </c>
      <c r="B7" s="99" t="s">
        <v>109</v>
      </c>
      <c r="C7" s="101">
        <f>B4/B3</f>
        <v>0.83333333333333337</v>
      </c>
      <c r="D7" s="102" t="s">
        <v>192</v>
      </c>
    </row>
    <row r="8" spans="1:4" ht="26.25" x14ac:dyDescent="0.4">
      <c r="A8" s="98" t="s">
        <v>110</v>
      </c>
      <c r="B8" s="99" t="s">
        <v>111</v>
      </c>
      <c r="C8" s="100">
        <f>B4-B5</f>
        <v>-300</v>
      </c>
      <c r="D8" s="102" t="s">
        <v>193</v>
      </c>
    </row>
    <row r="9" spans="1:4" ht="52.5" x14ac:dyDescent="0.4">
      <c r="A9" s="98" t="s">
        <v>112</v>
      </c>
      <c r="B9" s="99" t="s">
        <v>113</v>
      </c>
      <c r="C9" s="101">
        <f>B4/B5</f>
        <v>0.8928571428571429</v>
      </c>
      <c r="D9" s="10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3"/>
  <sheetViews>
    <sheetView topLeftCell="A3" zoomScale="140" zoomScaleNormal="140" workbookViewId="0">
      <selection activeCell="C8" sqref="C8"/>
    </sheetView>
  </sheetViews>
  <sheetFormatPr defaultRowHeight="15" x14ac:dyDescent="0.25"/>
  <cols>
    <col min="1" max="1" width="6.5703125" customWidth="1"/>
    <col min="2" max="2" width="15.5703125" customWidth="1"/>
    <col min="3" max="3" width="19.42578125" customWidth="1"/>
    <col min="4" max="4" width="19.28515625" customWidth="1"/>
    <col min="5" max="5" width="17.85546875" customWidth="1"/>
    <col min="6" max="6" width="21.85546875" customWidth="1"/>
    <col min="7" max="7" width="19.28515625" bestFit="1" customWidth="1"/>
  </cols>
  <sheetData>
    <row r="2" spans="2:8" ht="15.75" thickBot="1" x14ac:dyDescent="0.3"/>
    <row r="3" spans="2:8" ht="15.75" thickBot="1" x14ac:dyDescent="0.3">
      <c r="B3" s="1" t="s">
        <v>82</v>
      </c>
      <c r="C3" s="2" t="s">
        <v>34</v>
      </c>
      <c r="D3" s="2" t="s">
        <v>83</v>
      </c>
      <c r="E3" s="2" t="s">
        <v>84</v>
      </c>
      <c r="F3" s="2" t="s">
        <v>85</v>
      </c>
      <c r="G3" s="2" t="s">
        <v>86</v>
      </c>
    </row>
    <row r="4" spans="2:8" ht="15.75" thickBot="1" x14ac:dyDescent="0.3">
      <c r="B4" s="3" t="s">
        <v>87</v>
      </c>
      <c r="C4" s="4">
        <f>SUM(D4:G4)</f>
        <v>210000</v>
      </c>
      <c r="D4" s="4">
        <v>50000</v>
      </c>
      <c r="E4" s="4">
        <v>20000</v>
      </c>
      <c r="F4" s="4">
        <v>30000</v>
      </c>
      <c r="G4" s="4">
        <v>110000</v>
      </c>
    </row>
    <row r="5" spans="2:8" ht="15.75" thickBot="1" x14ac:dyDescent="0.3">
      <c r="B5" s="3" t="s">
        <v>88</v>
      </c>
      <c r="C5" s="4">
        <f>SUM(D5:G5)</f>
        <v>200000</v>
      </c>
      <c r="D5" s="4">
        <v>30000</v>
      </c>
      <c r="E5" s="4">
        <v>20000</v>
      </c>
      <c r="F5" s="4">
        <v>50000</v>
      </c>
      <c r="G5" s="4">
        <v>100000</v>
      </c>
    </row>
    <row r="6" spans="2:8" ht="15.75" thickBot="1" x14ac:dyDescent="0.3">
      <c r="B6" s="3" t="s">
        <v>89</v>
      </c>
      <c r="C6" s="4">
        <f>SUM(D6:G6)</f>
        <v>210000</v>
      </c>
      <c r="D6" s="4">
        <v>40000</v>
      </c>
      <c r="E6" s="4">
        <v>20000</v>
      </c>
      <c r="F6" s="4">
        <v>40000</v>
      </c>
      <c r="G6" s="4">
        <v>110000</v>
      </c>
    </row>
    <row r="7" spans="2:8" ht="15.75" thickBot="1" x14ac:dyDescent="0.3">
      <c r="B7" s="3" t="s">
        <v>90</v>
      </c>
      <c r="C7" s="7">
        <f>C5-C4</f>
        <v>-10000</v>
      </c>
      <c r="D7" s="7">
        <f>D5-D4</f>
        <v>-20000</v>
      </c>
      <c r="E7" s="8">
        <f>E5-E4</f>
        <v>0</v>
      </c>
      <c r="F7" s="9">
        <f>F5-F4</f>
        <v>20000</v>
      </c>
      <c r="G7" s="7">
        <f>G5-G4</f>
        <v>-10000</v>
      </c>
    </row>
    <row r="8" spans="2:8" ht="15.75" thickBot="1" x14ac:dyDescent="0.3">
      <c r="B8" s="3" t="s">
        <v>91</v>
      </c>
      <c r="C8" s="122">
        <f>C5/C4</f>
        <v>0.95238095238095233</v>
      </c>
      <c r="D8" s="11">
        <f>D5/D4</f>
        <v>0.6</v>
      </c>
      <c r="E8" s="10">
        <f>E5/E4</f>
        <v>1</v>
      </c>
      <c r="F8" s="12">
        <f>F5/F4</f>
        <v>1.6666666666666667</v>
      </c>
      <c r="G8" s="11">
        <f>G5/G4</f>
        <v>0.90909090909090906</v>
      </c>
      <c r="H8" s="115"/>
    </row>
    <row r="9" spans="2:8" ht="72.75" customHeight="1" thickBot="1" x14ac:dyDescent="0.3">
      <c r="B9" s="3" t="s">
        <v>92</v>
      </c>
      <c r="C9" s="55" t="s">
        <v>204</v>
      </c>
      <c r="D9" s="55" t="s">
        <v>197</v>
      </c>
      <c r="E9" s="14" t="s">
        <v>95</v>
      </c>
      <c r="F9" s="56" t="s">
        <v>200</v>
      </c>
      <c r="G9" s="55" t="s">
        <v>202</v>
      </c>
    </row>
    <row r="10" spans="2:8" ht="15.75" thickBot="1" x14ac:dyDescent="0.3">
      <c r="B10" s="3" t="s">
        <v>98</v>
      </c>
      <c r="C10" s="110">
        <f>C5-C6</f>
        <v>-10000</v>
      </c>
      <c r="D10" s="110">
        <f t="shared" ref="D10:G10" si="0">D5-D6</f>
        <v>-10000</v>
      </c>
      <c r="E10" s="111">
        <f t="shared" si="0"/>
        <v>0</v>
      </c>
      <c r="F10" s="112">
        <f t="shared" si="0"/>
        <v>10000</v>
      </c>
      <c r="G10" s="110">
        <f t="shared" si="0"/>
        <v>-10000</v>
      </c>
    </row>
    <row r="11" spans="2:8" ht="15.75" thickBot="1" x14ac:dyDescent="0.3">
      <c r="B11" s="3" t="s">
        <v>99</v>
      </c>
      <c r="C11" s="11">
        <f>C5/C6</f>
        <v>0.95238095238095233</v>
      </c>
      <c r="D11" s="11">
        <f t="shared" ref="D11:G11" si="1">D5/D6</f>
        <v>0.75</v>
      </c>
      <c r="E11" s="10">
        <f t="shared" si="1"/>
        <v>1</v>
      </c>
      <c r="F11" s="12">
        <f t="shared" si="1"/>
        <v>1.25</v>
      </c>
      <c r="G11" s="11">
        <f t="shared" si="1"/>
        <v>0.90909090909090906</v>
      </c>
    </row>
    <row r="12" spans="2:8" ht="63.75" thickBot="1" x14ac:dyDescent="0.3">
      <c r="B12" s="3" t="s">
        <v>100</v>
      </c>
      <c r="C12" s="55" t="s">
        <v>205</v>
      </c>
      <c r="D12" s="55" t="s">
        <v>198</v>
      </c>
      <c r="E12" s="14" t="s">
        <v>199</v>
      </c>
      <c r="F12" s="56" t="s">
        <v>201</v>
      </c>
      <c r="G12" s="55" t="s">
        <v>203</v>
      </c>
    </row>
    <row r="13" spans="2:8" x14ac:dyDescent="0.25">
      <c r="C13" s="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zoomScale="140" zoomScaleNormal="140" workbookViewId="0">
      <selection activeCell="C13" sqref="C13"/>
    </sheetView>
  </sheetViews>
  <sheetFormatPr defaultRowHeight="15" x14ac:dyDescent="0.25"/>
  <cols>
    <col min="1" max="1" width="3.85546875" customWidth="1"/>
    <col min="2" max="2" width="15.5703125" bestFit="1" customWidth="1"/>
    <col min="3" max="3" width="22" customWidth="1"/>
    <col min="4" max="4" width="24.28515625" customWidth="1"/>
    <col min="5" max="5" width="21.28515625" customWidth="1"/>
    <col min="6" max="6" width="21.85546875" customWidth="1"/>
    <col min="7" max="7" width="19.28515625" bestFit="1" customWidth="1"/>
  </cols>
  <sheetData>
    <row r="2" spans="2:7" ht="15.75" thickBot="1" x14ac:dyDescent="0.3"/>
    <row r="3" spans="2:7" ht="15.75" thickBot="1" x14ac:dyDescent="0.3">
      <c r="B3" s="1" t="s">
        <v>82</v>
      </c>
      <c r="C3" s="2" t="s">
        <v>34</v>
      </c>
      <c r="D3" s="2" t="s">
        <v>114</v>
      </c>
      <c r="E3" s="2" t="s">
        <v>115</v>
      </c>
      <c r="F3" s="2" t="s">
        <v>116</v>
      </c>
      <c r="G3" s="2" t="s">
        <v>117</v>
      </c>
    </row>
    <row r="4" spans="2:7" ht="15.75" thickBot="1" x14ac:dyDescent="0.3">
      <c r="B4" s="3" t="s">
        <v>87</v>
      </c>
      <c r="C4" s="4">
        <f>SUM(D4:G4)</f>
        <v>137000</v>
      </c>
      <c r="D4" s="4">
        <v>32000</v>
      </c>
      <c r="E4" s="4">
        <v>25000</v>
      </c>
      <c r="F4" s="4">
        <v>60000</v>
      </c>
      <c r="G4" s="4">
        <v>20000</v>
      </c>
    </row>
    <row r="5" spans="2:7" ht="15.75" thickBot="1" x14ac:dyDescent="0.3">
      <c r="B5" s="3" t="s">
        <v>88</v>
      </c>
      <c r="C5" s="4">
        <f>SUM(D5:G5)</f>
        <v>93000</v>
      </c>
      <c r="D5" s="4">
        <v>32000</v>
      </c>
      <c r="E5" s="4">
        <v>25000</v>
      </c>
      <c r="F5" s="4">
        <v>30000</v>
      </c>
      <c r="G5" s="4">
        <f>G4*0.3</f>
        <v>6000</v>
      </c>
    </row>
    <row r="6" spans="2:7" ht="15.75" thickBot="1" x14ac:dyDescent="0.3">
      <c r="B6" s="3" t="s">
        <v>89</v>
      </c>
      <c r="C6" s="4">
        <f>SUM(D6:G6)</f>
        <v>121000</v>
      </c>
      <c r="D6" s="4">
        <v>23000</v>
      </c>
      <c r="E6" s="4">
        <v>28000</v>
      </c>
      <c r="F6" s="4">
        <v>40000</v>
      </c>
      <c r="G6" s="4">
        <v>30000</v>
      </c>
    </row>
    <row r="7" spans="2:7" ht="15.75" thickBot="1" x14ac:dyDescent="0.3">
      <c r="B7" s="3" t="s">
        <v>90</v>
      </c>
      <c r="C7" s="7">
        <f t="shared" ref="C7" si="0">C5-C4</f>
        <v>-44000</v>
      </c>
      <c r="D7" s="8">
        <f>D5-D4</f>
        <v>0</v>
      </c>
      <c r="E7" s="8">
        <f t="shared" ref="E7:G7" si="1">E5-E4</f>
        <v>0</v>
      </c>
      <c r="F7" s="7">
        <f t="shared" si="1"/>
        <v>-30000</v>
      </c>
      <c r="G7" s="7">
        <f t="shared" si="1"/>
        <v>-14000</v>
      </c>
    </row>
    <row r="8" spans="2:7" ht="15.75" thickBot="1" x14ac:dyDescent="0.3">
      <c r="B8" s="3" t="s">
        <v>91</v>
      </c>
      <c r="C8" s="11">
        <f t="shared" ref="C8" si="2">C5/C4</f>
        <v>0.67883211678832112</v>
      </c>
      <c r="D8" s="10">
        <f>D5/D4</f>
        <v>1</v>
      </c>
      <c r="E8" s="10">
        <f t="shared" ref="E8:G8" si="3">E5/E4</f>
        <v>1</v>
      </c>
      <c r="F8" s="11">
        <f t="shared" si="3"/>
        <v>0.5</v>
      </c>
      <c r="G8" s="11">
        <f t="shared" si="3"/>
        <v>0.3</v>
      </c>
    </row>
    <row r="9" spans="2:7" ht="45" customHeight="1" thickBot="1" x14ac:dyDescent="0.3">
      <c r="B9" s="3" t="s">
        <v>92</v>
      </c>
      <c r="C9" s="44" t="s">
        <v>212</v>
      </c>
      <c r="D9" s="13" t="s">
        <v>95</v>
      </c>
      <c r="E9" s="13" t="s">
        <v>95</v>
      </c>
      <c r="F9" s="44" t="s">
        <v>208</v>
      </c>
      <c r="G9" s="44" t="s">
        <v>210</v>
      </c>
    </row>
    <row r="10" spans="2:7" ht="15.75" thickBot="1" x14ac:dyDescent="0.3">
      <c r="B10" s="3" t="s">
        <v>98</v>
      </c>
      <c r="C10" s="7">
        <f>C5-C6</f>
        <v>-28000</v>
      </c>
      <c r="D10" s="9">
        <f t="shared" ref="D10:G10" si="4">D5-D6</f>
        <v>9000</v>
      </c>
      <c r="E10" s="7">
        <f t="shared" si="4"/>
        <v>-3000</v>
      </c>
      <c r="F10" s="7">
        <f t="shared" si="4"/>
        <v>-10000</v>
      </c>
      <c r="G10" s="7">
        <f t="shared" si="4"/>
        <v>-24000</v>
      </c>
    </row>
    <row r="11" spans="2:7" ht="15.75" thickBot="1" x14ac:dyDescent="0.3">
      <c r="B11" s="3" t="s">
        <v>99</v>
      </c>
      <c r="C11" s="11">
        <f>C5/C6</f>
        <v>0.76859504132231404</v>
      </c>
      <c r="D11" s="12">
        <f t="shared" ref="D11:G11" si="5">D5/D6</f>
        <v>1.3913043478260869</v>
      </c>
      <c r="E11" s="11">
        <f t="shared" si="5"/>
        <v>0.8928571428571429</v>
      </c>
      <c r="F11" s="11">
        <f t="shared" si="5"/>
        <v>0.75</v>
      </c>
      <c r="G11" s="11">
        <f t="shared" si="5"/>
        <v>0.2</v>
      </c>
    </row>
    <row r="12" spans="2:7" ht="69" customHeight="1" thickBot="1" x14ac:dyDescent="0.3">
      <c r="B12" s="3" t="s">
        <v>100</v>
      </c>
      <c r="C12" s="44" t="s">
        <v>213</v>
      </c>
      <c r="D12" s="46" t="s">
        <v>206</v>
      </c>
      <c r="E12" s="44" t="s">
        <v>207</v>
      </c>
      <c r="F12" s="44" t="s">
        <v>209</v>
      </c>
      <c r="G12" s="44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3"/>
  <sheetViews>
    <sheetView topLeftCell="A2" zoomScale="150" zoomScaleNormal="150" workbookViewId="0">
      <selection activeCell="C13" sqref="C13"/>
    </sheetView>
  </sheetViews>
  <sheetFormatPr defaultRowHeight="15" x14ac:dyDescent="0.25"/>
  <cols>
    <col min="1" max="1" width="6.5703125" customWidth="1"/>
    <col min="2" max="2" width="15.5703125" customWidth="1"/>
    <col min="3" max="3" width="19.42578125" customWidth="1"/>
    <col min="4" max="4" width="19.140625" bestFit="1" customWidth="1"/>
    <col min="5" max="5" width="18.5703125" bestFit="1" customWidth="1"/>
    <col min="6" max="6" width="21.85546875" customWidth="1"/>
    <col min="7" max="7" width="19.28515625" bestFit="1" customWidth="1"/>
  </cols>
  <sheetData>
    <row r="2" spans="2:7" ht="15.75" thickBot="1" x14ac:dyDescent="0.3"/>
    <row r="3" spans="2:7" ht="15.75" thickBot="1" x14ac:dyDescent="0.3">
      <c r="B3" s="1" t="s">
        <v>82</v>
      </c>
      <c r="C3" s="2" t="s">
        <v>34</v>
      </c>
      <c r="D3" s="2" t="s">
        <v>83</v>
      </c>
      <c r="E3" s="2" t="s">
        <v>84</v>
      </c>
      <c r="F3" s="2" t="s">
        <v>85</v>
      </c>
      <c r="G3" s="2" t="s">
        <v>86</v>
      </c>
    </row>
    <row r="4" spans="2:7" ht="15.75" thickBot="1" x14ac:dyDescent="0.3">
      <c r="B4" s="3" t="s">
        <v>87</v>
      </c>
      <c r="C4" s="4">
        <f>SUM(D4:G4)</f>
        <v>365000</v>
      </c>
      <c r="D4" s="4">
        <v>50000</v>
      </c>
      <c r="E4" s="4">
        <v>125000</v>
      </c>
      <c r="F4" s="4">
        <v>110000</v>
      </c>
      <c r="G4" s="4">
        <v>80000</v>
      </c>
    </row>
    <row r="5" spans="2:7" ht="15.75" thickBot="1" x14ac:dyDescent="0.3">
      <c r="B5" s="3" t="s">
        <v>88</v>
      </c>
      <c r="C5" s="4">
        <f>SUM(D5:G5)</f>
        <v>242000</v>
      </c>
      <c r="D5" s="4">
        <v>50000</v>
      </c>
      <c r="E5" s="4">
        <v>125000</v>
      </c>
      <c r="F5" s="4">
        <f>F4*0.5</f>
        <v>55000</v>
      </c>
      <c r="G5" s="4">
        <f>G4*0.15</f>
        <v>12000</v>
      </c>
    </row>
    <row r="6" spans="2:7" ht="15.75" thickBot="1" x14ac:dyDescent="0.3">
      <c r="B6" s="3" t="s">
        <v>89</v>
      </c>
      <c r="C6" s="4">
        <f>SUM(D6:G6)</f>
        <v>280000</v>
      </c>
      <c r="D6" s="4">
        <v>40000</v>
      </c>
      <c r="E6" s="4">
        <v>180000</v>
      </c>
      <c r="F6" s="4">
        <v>30000</v>
      </c>
      <c r="G6" s="4">
        <v>30000</v>
      </c>
    </row>
    <row r="7" spans="2:7" ht="15.75" thickBot="1" x14ac:dyDescent="0.3">
      <c r="B7" s="3" t="s">
        <v>90</v>
      </c>
      <c r="C7" s="7">
        <f>C5-C4</f>
        <v>-123000</v>
      </c>
      <c r="D7" s="8">
        <f t="shared" ref="D7:G7" si="0">D5-D4</f>
        <v>0</v>
      </c>
      <c r="E7" s="8">
        <f t="shared" si="0"/>
        <v>0</v>
      </c>
      <c r="F7" s="7">
        <f t="shared" si="0"/>
        <v>-55000</v>
      </c>
      <c r="G7" s="7">
        <f t="shared" si="0"/>
        <v>-68000</v>
      </c>
    </row>
    <row r="8" spans="2:7" ht="15.75" thickBot="1" x14ac:dyDescent="0.3">
      <c r="B8" s="3" t="s">
        <v>91</v>
      </c>
      <c r="C8" s="11">
        <f>C5/C4</f>
        <v>0.66301369863013704</v>
      </c>
      <c r="D8" s="10">
        <f t="shared" ref="D8:G8" si="1">D5/D4</f>
        <v>1</v>
      </c>
      <c r="E8" s="10">
        <f t="shared" si="1"/>
        <v>1</v>
      </c>
      <c r="F8" s="11">
        <f t="shared" si="1"/>
        <v>0.5</v>
      </c>
      <c r="G8" s="11">
        <f t="shared" si="1"/>
        <v>0.15</v>
      </c>
    </row>
    <row r="9" spans="2:7" ht="42.75" customHeight="1" thickBot="1" x14ac:dyDescent="0.3">
      <c r="B9" s="3" t="s">
        <v>92</v>
      </c>
      <c r="C9" s="55" t="s">
        <v>220</v>
      </c>
      <c r="D9" s="14" t="s">
        <v>95</v>
      </c>
      <c r="E9" s="14" t="s">
        <v>95</v>
      </c>
      <c r="F9" s="55" t="s">
        <v>216</v>
      </c>
      <c r="G9" s="55" t="s">
        <v>218</v>
      </c>
    </row>
    <row r="10" spans="2:7" ht="15.75" thickBot="1" x14ac:dyDescent="0.3">
      <c r="B10" s="3" t="s">
        <v>98</v>
      </c>
      <c r="C10" s="7">
        <f>C5-C6</f>
        <v>-38000</v>
      </c>
      <c r="D10" s="9">
        <f t="shared" ref="D10:G10" si="2">D5-D6</f>
        <v>10000</v>
      </c>
      <c r="E10" s="7">
        <f t="shared" si="2"/>
        <v>-55000</v>
      </c>
      <c r="F10" s="9">
        <f t="shared" si="2"/>
        <v>25000</v>
      </c>
      <c r="G10" s="7">
        <f t="shared" si="2"/>
        <v>-18000</v>
      </c>
    </row>
    <row r="11" spans="2:7" ht="15.75" thickBot="1" x14ac:dyDescent="0.3">
      <c r="B11" s="3" t="s">
        <v>99</v>
      </c>
      <c r="C11" s="11">
        <f>C5/C6</f>
        <v>0.86428571428571432</v>
      </c>
      <c r="D11" s="12">
        <f t="shared" ref="D11:G11" si="3">D5/D6</f>
        <v>1.25</v>
      </c>
      <c r="E11" s="11">
        <f t="shared" si="3"/>
        <v>0.69444444444444442</v>
      </c>
      <c r="F11" s="12">
        <f t="shared" si="3"/>
        <v>1.8333333333333333</v>
      </c>
      <c r="G11" s="11">
        <f t="shared" si="3"/>
        <v>0.4</v>
      </c>
    </row>
    <row r="12" spans="2:7" ht="63.75" thickBot="1" x14ac:dyDescent="0.3">
      <c r="B12" s="3" t="s">
        <v>100</v>
      </c>
      <c r="C12" s="55" t="s">
        <v>221</v>
      </c>
      <c r="D12" s="56" t="s">
        <v>214</v>
      </c>
      <c r="E12" s="55" t="s">
        <v>215</v>
      </c>
      <c r="F12" s="56" t="s">
        <v>217</v>
      </c>
      <c r="G12" s="55" t="s">
        <v>219</v>
      </c>
    </row>
    <row r="13" spans="2:7" x14ac:dyDescent="0.25">
      <c r="C13" s="5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QUESTAO 1</vt:lpstr>
      <vt:lpstr>QUESTAO 2</vt:lpstr>
      <vt:lpstr>QUESTAO 3</vt:lpstr>
      <vt:lpstr>QUESTAO 5_1</vt:lpstr>
      <vt:lpstr>1.3 (2)</vt:lpstr>
      <vt:lpstr>QUESTAO 4</vt:lpstr>
      <vt:lpstr>QUESTAO 5</vt:lpstr>
      <vt:lpstr>QUESTAO 6</vt:lpstr>
      <vt:lpstr>QUESTAO 7</vt:lpstr>
      <vt:lpstr>1.4 (2)</vt:lpstr>
      <vt:lpstr>QUESTAO 8</vt:lpstr>
      <vt:lpstr>QUESTAO 9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Fundação Getulio Vargas</dc:creator>
  <cp:keywords/>
  <dc:description/>
  <cp:lastModifiedBy>Leonardo Alves Vasconcelos</cp:lastModifiedBy>
  <cp:revision/>
  <dcterms:created xsi:type="dcterms:W3CDTF">2017-02-15T21:53:22Z</dcterms:created>
  <dcterms:modified xsi:type="dcterms:W3CDTF">2023-11-22T17:13:28Z</dcterms:modified>
  <cp:category/>
  <cp:contentStatus/>
</cp:coreProperties>
</file>