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Mac\Mauro\_Mauro\MEGAsync\FGV\FGV Riscos_Prof Mauro Sotille\04 Exemplos\"/>
    </mc:Choice>
  </mc:AlternateContent>
  <bookViews>
    <workbookView xWindow="240" yWindow="60" windowWidth="15480" windowHeight="9720" tabRatio="924" activeTab="4"/>
  </bookViews>
  <sheets>
    <sheet name="Qualificação" sheetId="8" r:id="rId1"/>
    <sheet name="Indicadores" sheetId="6" r:id="rId2"/>
    <sheet name="Identificar" sheetId="7" r:id="rId3"/>
    <sheet name="Analise_Qualitativa" sheetId="2" r:id="rId4"/>
    <sheet name="Analise_Quantitativa" sheetId="14" r:id="rId5"/>
    <sheet name="Plano_Resposta" sheetId="11" r:id="rId6"/>
    <sheet name="Monitoramento_Controle" sheetId="12" r:id="rId7"/>
    <sheet name="Report" sheetId="5" r:id="rId8"/>
  </sheets>
  <definedNames>
    <definedName name="_xlnm._FilterDatabase" localSheetId="2" hidden="1">Identificar!$B$6:$H$26</definedName>
    <definedName name="_xlnm._FilterDatabase" localSheetId="6" hidden="1">Monitoramento_Controle!$A$5:$K$5</definedName>
  </definedNames>
  <calcPr calcId="162913"/>
</workbook>
</file>

<file path=xl/calcChain.xml><?xml version="1.0" encoding="utf-8"?>
<calcChain xmlns="http://schemas.openxmlformats.org/spreadsheetml/2006/main">
  <c r="H8" i="14" l="1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G8" i="14" l="1"/>
  <c r="G9" i="14"/>
  <c r="H89" i="12" l="1"/>
  <c r="K85" i="12"/>
  <c r="J85" i="12"/>
  <c r="I85" i="12"/>
  <c r="H85" i="12"/>
  <c r="F85" i="12"/>
  <c r="G85" i="12"/>
  <c r="K59" i="12"/>
  <c r="J59" i="12"/>
  <c r="I59" i="12"/>
  <c r="H59" i="12"/>
  <c r="F59" i="12"/>
  <c r="G59" i="12"/>
  <c r="K33" i="12"/>
  <c r="J33" i="12"/>
  <c r="I33" i="12"/>
  <c r="H33" i="12"/>
  <c r="F33" i="12"/>
  <c r="G33" i="12"/>
  <c r="K7" i="12"/>
  <c r="J7" i="12"/>
  <c r="I7" i="12"/>
  <c r="H7" i="12"/>
  <c r="F7" i="12"/>
  <c r="H63" i="12" l="1"/>
  <c r="H64" i="12"/>
  <c r="H65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20" i="12" l="1"/>
  <c r="F10" i="11" l="1"/>
  <c r="F9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8" i="11"/>
  <c r="H88" i="12"/>
  <c r="H90" i="12"/>
  <c r="H91" i="12"/>
  <c r="H92" i="12"/>
  <c r="H62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88" i="12"/>
  <c r="B88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62" i="12"/>
  <c r="B62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8" i="2" l="1"/>
  <c r="D37" i="12" l="1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36" i="12"/>
  <c r="B3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10" i="12"/>
  <c r="D12" i="12"/>
  <c r="B10" i="12"/>
  <c r="H66" i="12" s="1"/>
  <c r="B8" i="11"/>
  <c r="C13" i="11"/>
  <c r="J13" i="11"/>
  <c r="B8" i="14"/>
  <c r="C10" i="14"/>
  <c r="C27" i="2"/>
  <c r="C10" i="2"/>
  <c r="B8" i="2"/>
  <c r="H93" i="12" l="1"/>
  <c r="D21" i="6"/>
  <c r="I26" i="2" s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1" i="12"/>
  <c r="D10" i="12"/>
  <c r="J27" i="11"/>
  <c r="C27" i="11"/>
  <c r="J26" i="11"/>
  <c r="C26" i="11"/>
  <c r="J25" i="11"/>
  <c r="C25" i="11"/>
  <c r="J24" i="11"/>
  <c r="C24" i="11"/>
  <c r="J23" i="11"/>
  <c r="C23" i="11"/>
  <c r="J22" i="11"/>
  <c r="C22" i="11"/>
  <c r="J21" i="11"/>
  <c r="C21" i="11"/>
  <c r="J20" i="11"/>
  <c r="C20" i="11"/>
  <c r="J19" i="11"/>
  <c r="C19" i="11"/>
  <c r="J18" i="11"/>
  <c r="C18" i="11"/>
  <c r="J17" i="11"/>
  <c r="C17" i="11"/>
  <c r="J16" i="11"/>
  <c r="C16" i="11"/>
  <c r="J15" i="11"/>
  <c r="C15" i="11"/>
  <c r="J14" i="11"/>
  <c r="C14" i="11"/>
  <c r="J12" i="11"/>
  <c r="C12" i="11"/>
  <c r="J11" i="11"/>
  <c r="C11" i="11"/>
  <c r="J10" i="11"/>
  <c r="C10" i="11"/>
  <c r="J9" i="11"/>
  <c r="C9" i="11"/>
  <c r="J8" i="11"/>
  <c r="C8" i="11"/>
  <c r="E27" i="14"/>
  <c r="F27" i="14" s="1"/>
  <c r="G27" i="14" s="1"/>
  <c r="C27" i="14"/>
  <c r="E26" i="14"/>
  <c r="F26" i="14" s="1"/>
  <c r="C26" i="14"/>
  <c r="E25" i="14"/>
  <c r="F25" i="14" s="1"/>
  <c r="G25" i="14" s="1"/>
  <c r="C25" i="14"/>
  <c r="E24" i="14"/>
  <c r="F24" i="14" s="1"/>
  <c r="G24" i="14" s="1"/>
  <c r="C24" i="14"/>
  <c r="E23" i="14"/>
  <c r="F23" i="14" s="1"/>
  <c r="C23" i="14"/>
  <c r="E22" i="14"/>
  <c r="F22" i="14" s="1"/>
  <c r="G22" i="14" s="1"/>
  <c r="C22" i="14"/>
  <c r="E21" i="14"/>
  <c r="F21" i="14" s="1"/>
  <c r="C21" i="14"/>
  <c r="E20" i="14"/>
  <c r="F20" i="14" s="1"/>
  <c r="C20" i="14"/>
  <c r="E19" i="14"/>
  <c r="F19" i="14" s="1"/>
  <c r="G19" i="14" s="1"/>
  <c r="C19" i="14"/>
  <c r="E18" i="14"/>
  <c r="F18" i="14" s="1"/>
  <c r="G18" i="14" s="1"/>
  <c r="E18" i="11" s="1"/>
  <c r="C18" i="14"/>
  <c r="E17" i="14"/>
  <c r="F17" i="14" s="1"/>
  <c r="C17" i="14"/>
  <c r="E16" i="14"/>
  <c r="F16" i="14" s="1"/>
  <c r="G16" i="14" s="1"/>
  <c r="E16" i="11" s="1"/>
  <c r="C16" i="14"/>
  <c r="E15" i="14"/>
  <c r="F15" i="14" s="1"/>
  <c r="G15" i="14" s="1"/>
  <c r="E15" i="11" s="1"/>
  <c r="C15" i="14"/>
  <c r="E14" i="14"/>
  <c r="F14" i="14" s="1"/>
  <c r="G14" i="14" s="1"/>
  <c r="E14" i="11" s="1"/>
  <c r="C14" i="14"/>
  <c r="E13" i="14"/>
  <c r="F13" i="14" s="1"/>
  <c r="G13" i="14" s="1"/>
  <c r="E13" i="11" s="1"/>
  <c r="C13" i="14"/>
  <c r="E12" i="14"/>
  <c r="F12" i="14" s="1"/>
  <c r="G12" i="14" s="1"/>
  <c r="E12" i="11" s="1"/>
  <c r="C12" i="14"/>
  <c r="E11" i="14"/>
  <c r="F11" i="14" s="1"/>
  <c r="G11" i="14" s="1"/>
  <c r="C11" i="14"/>
  <c r="E10" i="14"/>
  <c r="F10" i="14" s="1"/>
  <c r="E9" i="14"/>
  <c r="F9" i="14" s="1"/>
  <c r="C9" i="14"/>
  <c r="O8" i="14"/>
  <c r="O9" i="14" s="1"/>
  <c r="N8" i="14"/>
  <c r="N9" i="14" s="1"/>
  <c r="M8" i="14"/>
  <c r="M9" i="14" s="1"/>
  <c r="E8" i="14"/>
  <c r="C8" i="14"/>
  <c r="I27" i="2"/>
  <c r="G27" i="2"/>
  <c r="E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I11" i="2"/>
  <c r="G11" i="2"/>
  <c r="E11" i="2"/>
  <c r="C11" i="2"/>
  <c r="I10" i="2"/>
  <c r="G10" i="2"/>
  <c r="E10" i="2"/>
  <c r="G9" i="2"/>
  <c r="E9" i="2"/>
  <c r="C9" i="2"/>
  <c r="E8" i="2"/>
  <c r="C8" i="2"/>
  <c r="B9" i="7"/>
  <c r="B8" i="7"/>
  <c r="B90" i="12" l="1"/>
  <c r="B64" i="12"/>
  <c r="B89" i="12"/>
  <c r="B63" i="12"/>
  <c r="I8" i="2"/>
  <c r="I9" i="2"/>
  <c r="F8" i="14"/>
  <c r="E11" i="11"/>
  <c r="G17" i="14"/>
  <c r="E17" i="11" s="1"/>
  <c r="G23" i="14"/>
  <c r="E23" i="11" s="1"/>
  <c r="B10" i="14"/>
  <c r="B38" i="12"/>
  <c r="B10" i="2"/>
  <c r="B12" i="12"/>
  <c r="H68" i="12" s="1"/>
  <c r="B10" i="11"/>
  <c r="B10" i="7"/>
  <c r="B37" i="12"/>
  <c r="B11" i="12"/>
  <c r="H67" i="12" s="1"/>
  <c r="B9" i="11"/>
  <c r="B9" i="2"/>
  <c r="B9" i="14"/>
  <c r="G20" i="14"/>
  <c r="E20" i="11" s="1"/>
  <c r="G26" i="14"/>
  <c r="I12" i="2"/>
  <c r="J12" i="2" s="1"/>
  <c r="D12" i="14" s="1"/>
  <c r="I13" i="2"/>
  <c r="J13" i="2" s="1"/>
  <c r="I14" i="2"/>
  <c r="J14" i="2" s="1"/>
  <c r="D14" i="14" s="1"/>
  <c r="I15" i="2"/>
  <c r="J15" i="2" s="1"/>
  <c r="D15" i="14" s="1"/>
  <c r="I16" i="2"/>
  <c r="I17" i="2"/>
  <c r="J17" i="2" s="1"/>
  <c r="D17" i="14" s="1"/>
  <c r="I18" i="2"/>
  <c r="J18" i="2" s="1"/>
  <c r="D18" i="14" s="1"/>
  <c r="I19" i="2"/>
  <c r="J19" i="2" s="1"/>
  <c r="D19" i="14" s="1"/>
  <c r="I20" i="2"/>
  <c r="J20" i="2" s="1"/>
  <c r="D20" i="11" s="1"/>
  <c r="G20" i="11" s="1"/>
  <c r="H20" i="11" s="1"/>
  <c r="I21" i="2"/>
  <c r="J21" i="2" s="1"/>
  <c r="I22" i="2"/>
  <c r="J22" i="2" s="1"/>
  <c r="D22" i="14" s="1"/>
  <c r="I23" i="2"/>
  <c r="J23" i="2" s="1"/>
  <c r="D23" i="14" s="1"/>
  <c r="I24" i="2"/>
  <c r="J24" i="2" s="1"/>
  <c r="D24" i="14" s="1"/>
  <c r="I25" i="2"/>
  <c r="J9" i="2"/>
  <c r="D9" i="14" s="1"/>
  <c r="G10" i="14"/>
  <c r="E10" i="11" s="1"/>
  <c r="J59" i="5"/>
  <c r="J57" i="5"/>
  <c r="J58" i="5"/>
  <c r="J11" i="2"/>
  <c r="D11" i="14" s="1"/>
  <c r="J16" i="2"/>
  <c r="J26" i="2"/>
  <c r="D26" i="11" s="1"/>
  <c r="G26" i="11" s="1"/>
  <c r="H26" i="11" s="1"/>
  <c r="E19" i="11"/>
  <c r="J10" i="2"/>
  <c r="D10" i="14" s="1"/>
  <c r="E27" i="11"/>
  <c r="J27" i="2"/>
  <c r="J8" i="2"/>
  <c r="J25" i="2"/>
  <c r="D25" i="14" s="1"/>
  <c r="E22" i="11"/>
  <c r="E24" i="11"/>
  <c r="E26" i="11"/>
  <c r="G21" i="14"/>
  <c r="E21" i="11" s="1"/>
  <c r="E25" i="11"/>
  <c r="E9" i="11" l="1"/>
  <c r="B91" i="12"/>
  <c r="B65" i="12"/>
  <c r="L14" i="14"/>
  <c r="H94" i="12"/>
  <c r="H95" i="12"/>
  <c r="B11" i="2"/>
  <c r="B11" i="14"/>
  <c r="B39" i="12"/>
  <c r="B13" i="12"/>
  <c r="H69" i="12" s="1"/>
  <c r="B11" i="11"/>
  <c r="B11" i="7"/>
  <c r="M14" i="14"/>
  <c r="D21" i="14"/>
  <c r="D21" i="11"/>
  <c r="G21" i="11" s="1"/>
  <c r="H21" i="11" s="1"/>
  <c r="D15" i="11"/>
  <c r="G15" i="11" s="1"/>
  <c r="H15" i="11" s="1"/>
  <c r="D9" i="11"/>
  <c r="G9" i="11" s="1"/>
  <c r="H9" i="11" s="1"/>
  <c r="D12" i="11"/>
  <c r="G12" i="11" s="1"/>
  <c r="H12" i="11" s="1"/>
  <c r="D27" i="14"/>
  <c r="D27" i="11"/>
  <c r="G27" i="11" s="1"/>
  <c r="H27" i="11" s="1"/>
  <c r="D13" i="14"/>
  <c r="D13" i="11"/>
  <c r="G13" i="11" s="1"/>
  <c r="H13" i="11" s="1"/>
  <c r="D23" i="11"/>
  <c r="G23" i="11" s="1"/>
  <c r="H23" i="11" s="1"/>
  <c r="D26" i="14"/>
  <c r="D25" i="11"/>
  <c r="G25" i="11" s="1"/>
  <c r="H25" i="11" s="1"/>
  <c r="D19" i="11"/>
  <c r="G19" i="11" s="1"/>
  <c r="H19" i="11" s="1"/>
  <c r="D17" i="11"/>
  <c r="G17" i="11" s="1"/>
  <c r="H17" i="11" s="1"/>
  <c r="D20" i="14"/>
  <c r="D14" i="11"/>
  <c r="G14" i="11" s="1"/>
  <c r="H14" i="11" s="1"/>
  <c r="D16" i="14"/>
  <c r="D8" i="11"/>
  <c r="G8" i="11" s="1"/>
  <c r="H8" i="11" s="1"/>
  <c r="D8" i="14"/>
  <c r="D22" i="11"/>
  <c r="G22" i="11" s="1"/>
  <c r="H22" i="11" s="1"/>
  <c r="D11" i="11"/>
  <c r="G11" i="11" s="1"/>
  <c r="H11" i="11" s="1"/>
  <c r="D10" i="11"/>
  <c r="G10" i="11" s="1"/>
  <c r="H10" i="11" s="1"/>
  <c r="D18" i="11"/>
  <c r="G18" i="11" s="1"/>
  <c r="H18" i="11" s="1"/>
  <c r="D24" i="11"/>
  <c r="G24" i="11" s="1"/>
  <c r="H24" i="11" s="1"/>
  <c r="D16" i="11"/>
  <c r="G16" i="11" s="1"/>
  <c r="H16" i="11" s="1"/>
  <c r="E8" i="11" l="1"/>
  <c r="B92" i="12"/>
  <c r="B66" i="12"/>
  <c r="H96" i="12"/>
  <c r="B14" i="12"/>
  <c r="H70" i="12" s="1"/>
  <c r="B12" i="11"/>
  <c r="B12" i="2"/>
  <c r="B40" i="12"/>
  <c r="B12" i="14"/>
  <c r="B12" i="7"/>
  <c r="G59" i="5"/>
  <c r="M59" i="5" s="1"/>
  <c r="G58" i="5"/>
  <c r="M58" i="5" s="1"/>
  <c r="G57" i="5"/>
  <c r="M57" i="5" s="1"/>
  <c r="B93" i="12" l="1"/>
  <c r="B67" i="12"/>
  <c r="H97" i="12"/>
  <c r="B41" i="12"/>
  <c r="B13" i="14"/>
  <c r="B15" i="12"/>
  <c r="H71" i="12" s="1"/>
  <c r="B13" i="11"/>
  <c r="B13" i="2"/>
  <c r="B13" i="7"/>
  <c r="B68" i="12" l="1"/>
  <c r="B94" i="12"/>
  <c r="H98" i="12"/>
  <c r="B42" i="12"/>
  <c r="B14" i="14"/>
  <c r="B16" i="12"/>
  <c r="H72" i="12" s="1"/>
  <c r="B14" i="11"/>
  <c r="B14" i="2"/>
  <c r="B14" i="7"/>
  <c r="B95" i="12" l="1"/>
  <c r="B69" i="12"/>
  <c r="H99" i="12"/>
  <c r="B15" i="2"/>
  <c r="B43" i="12"/>
  <c r="B15" i="14"/>
  <c r="B17" i="12"/>
  <c r="H73" i="12" s="1"/>
  <c r="B15" i="11"/>
  <c r="B15" i="7"/>
  <c r="B96" i="12" l="1"/>
  <c r="B70" i="12"/>
  <c r="H100" i="12"/>
  <c r="B18" i="12"/>
  <c r="H74" i="12" s="1"/>
  <c r="B16" i="11"/>
  <c r="B16" i="2"/>
  <c r="B44" i="12"/>
  <c r="B16" i="14"/>
  <c r="B16" i="7"/>
  <c r="B97" i="12" l="1"/>
  <c r="B71" i="12"/>
  <c r="H101" i="12"/>
  <c r="B45" i="12"/>
  <c r="B17" i="14"/>
  <c r="B19" i="12"/>
  <c r="H75" i="12" s="1"/>
  <c r="B17" i="11"/>
  <c r="B17" i="2"/>
  <c r="B17" i="7"/>
  <c r="B72" i="12" l="1"/>
  <c r="B98" i="12"/>
  <c r="H102" i="12"/>
  <c r="B46" i="12"/>
  <c r="B18" i="14"/>
  <c r="B18" i="2"/>
  <c r="B20" i="12"/>
  <c r="H76" i="12" s="1"/>
  <c r="B18" i="11"/>
  <c r="B18" i="7"/>
  <c r="B99" i="12" l="1"/>
  <c r="B73" i="12"/>
  <c r="H103" i="12"/>
  <c r="B19" i="2"/>
  <c r="B47" i="12"/>
  <c r="B19" i="14"/>
  <c r="B21" i="12"/>
  <c r="H77" i="12" s="1"/>
  <c r="B19" i="11"/>
  <c r="B19" i="7"/>
  <c r="B100" i="12" l="1"/>
  <c r="B74" i="12"/>
  <c r="H104" i="12"/>
  <c r="B22" i="12"/>
  <c r="H78" i="12" s="1"/>
  <c r="B20" i="11"/>
  <c r="B20" i="2"/>
  <c r="B48" i="12"/>
  <c r="B20" i="14"/>
  <c r="B20" i="7"/>
  <c r="B101" i="12" l="1"/>
  <c r="B75" i="12"/>
  <c r="H105" i="12"/>
  <c r="B49" i="12"/>
  <c r="B21" i="14"/>
  <c r="B23" i="12"/>
  <c r="H79" i="12" s="1"/>
  <c r="B21" i="11"/>
  <c r="B21" i="2"/>
  <c r="B21" i="7"/>
  <c r="B76" i="12" l="1"/>
  <c r="B102" i="12"/>
  <c r="H106" i="12"/>
  <c r="B50" i="12"/>
  <c r="B22" i="14"/>
  <c r="B24" i="12"/>
  <c r="H80" i="12" s="1"/>
  <c r="B22" i="11"/>
  <c r="B22" i="2"/>
  <c r="B22" i="7"/>
  <c r="B103" i="12" l="1"/>
  <c r="B77" i="12"/>
  <c r="H107" i="12"/>
  <c r="B23" i="2"/>
  <c r="B51" i="12"/>
  <c r="B23" i="14"/>
  <c r="B25" i="12"/>
  <c r="H81" i="12" s="1"/>
  <c r="B23" i="11"/>
  <c r="B23" i="7"/>
  <c r="B78" i="12" l="1"/>
  <c r="B104" i="12"/>
  <c r="B26" i="12"/>
  <c r="B24" i="11"/>
  <c r="B24" i="2"/>
  <c r="B52" i="12"/>
  <c r="B24" i="14"/>
  <c r="B24" i="7"/>
  <c r="B105" i="12" l="1"/>
  <c r="B79" i="12"/>
  <c r="B53" i="12"/>
  <c r="B25" i="14"/>
  <c r="B27" i="12"/>
  <c r="B25" i="11"/>
  <c r="B25" i="2"/>
  <c r="B25" i="7"/>
  <c r="B80" i="12" l="1"/>
  <c r="B106" i="12"/>
  <c r="B54" i="12"/>
  <c r="B26" i="14"/>
  <c r="B26" i="2"/>
  <c r="B28" i="12"/>
  <c r="B26" i="11"/>
  <c r="B26" i="7"/>
  <c r="B107" i="12" l="1"/>
  <c r="B81" i="12"/>
  <c r="B27" i="2"/>
  <c r="B55" i="12"/>
  <c r="B27" i="14"/>
  <c r="B29" i="12"/>
  <c r="B27" i="11"/>
</calcChain>
</file>

<file path=xl/sharedStrings.xml><?xml version="1.0" encoding="utf-8"?>
<sst xmlns="http://schemas.openxmlformats.org/spreadsheetml/2006/main" count="899" uniqueCount="290">
  <si>
    <t>Descrição</t>
  </si>
  <si>
    <t>Mitigar</t>
  </si>
  <si>
    <t>As atividades do projeto podem não ser priorizadas pelas áreas, pois estas possuem um % restrito de atendimento a demandas de dia-a-dia. Sendo assim, há um alto risco dessas atividades não serem priorizadas em relação a atividades de outros projetos.</t>
  </si>
  <si>
    <t>Complexidade no desenvolvimento dos novos serviços no sistema.</t>
  </si>
  <si>
    <t>P</t>
  </si>
  <si>
    <t>Custo</t>
  </si>
  <si>
    <t>Prazo</t>
  </si>
  <si>
    <t>Grau</t>
  </si>
  <si>
    <t>Ação</t>
  </si>
  <si>
    <t>Prob</t>
  </si>
  <si>
    <t>Alteração de processos operacionais vitais para a continuidade de negócio e de back-office (processamento e conciliação dos sistemas).</t>
  </si>
  <si>
    <t>IC</t>
  </si>
  <si>
    <t>IP</t>
  </si>
  <si>
    <t>G</t>
  </si>
  <si>
    <t>Situação</t>
  </si>
  <si>
    <t>Data Resolução</t>
  </si>
  <si>
    <t>Líder do Projeto</t>
  </si>
  <si>
    <t>PROBABILIDADE</t>
  </si>
  <si>
    <t>Escala</t>
  </si>
  <si>
    <t>Descrição do Nível</t>
  </si>
  <si>
    <t>Probabilidade Percentual</t>
  </si>
  <si>
    <t>Chance consideráveis. É provável ou praticamente certo que aconteça.</t>
  </si>
  <si>
    <t>Pode-se assumir que há grande probabilidade de acontecer.</t>
  </si>
  <si>
    <t>É pouco provável mas existe dúvidas sobre a ocorrência.</t>
  </si>
  <si>
    <t>Provavelmente não ocorrerá porque há poucas chances de acontecer.</t>
  </si>
  <si>
    <t>Improvável. Praticamente não há chances para que ocorra.</t>
  </si>
  <si>
    <t>IMPACTO</t>
  </si>
  <si>
    <t>Crítico</t>
  </si>
  <si>
    <t>Variação acima de 20% do valor inicial.</t>
  </si>
  <si>
    <t>Extremo</t>
  </si>
  <si>
    <t>Variação de 10 a 20% do valor incial.</t>
  </si>
  <si>
    <t>Importante</t>
  </si>
  <si>
    <t>Variação de 5 a 10% do valor inicial.</t>
  </si>
  <si>
    <t>Moderado</t>
  </si>
  <si>
    <t>Variação até 5% do valor inicial.</t>
  </si>
  <si>
    <t>Desprezível</t>
  </si>
  <si>
    <t>Variação percentualmente insignificante do valor inicial</t>
  </si>
  <si>
    <t>Valor</t>
  </si>
  <si>
    <t>Não definido</t>
  </si>
  <si>
    <t>Risco ainda não avaliado</t>
  </si>
  <si>
    <t>Nulo</t>
  </si>
  <si>
    <t>Não definido ou inexistente</t>
  </si>
  <si>
    <t>Não cumprimento dos prazos de entregas definidos no cronograma do projeto.</t>
  </si>
  <si>
    <t>Não envolvimento efetivo dos patrocinadores e stakeholders no projeto.</t>
  </si>
  <si>
    <t>Alterações no escopo do projeto.</t>
  </si>
  <si>
    <t>Não conformidade do sistema com relação ao escopo do projeto.</t>
  </si>
  <si>
    <t>Concorrência deste projeto com outros projetos.</t>
  </si>
  <si>
    <t>Concorrências dos recursos do projeto com outros projetos e atividades do dia-a-dia.</t>
  </si>
  <si>
    <t>Peso da variável:</t>
  </si>
  <si>
    <t>Fator Crítico de Sucesso - Driver</t>
  </si>
  <si>
    <t>- Acompanhar análise técnica e desenvolvimento com o fornecedor.</t>
  </si>
  <si>
    <t>- Envolvimento da área de negócio na homologação.</t>
  </si>
  <si>
    <t>- Adequar o projeto aos novos processos operacionais, para garantir a continuidade do mesmo com o menor impacto possível.</t>
  </si>
  <si>
    <t>- Antecipar todas as atividades possíveis de antecipação no cronograma.</t>
  </si>
  <si>
    <t>- Obter comprometimento das áreas via email e ata de reunião.
  Acompanhar as demandas com as áreas envolvidas.</t>
  </si>
  <si>
    <t>- Avaliar impacto no prazo e custo, considerando o Fator Crítico de Sucesso, encaminhando a alteração para uma Change Request.</t>
  </si>
  <si>
    <t>Monitorando</t>
  </si>
  <si>
    <t>Muito Alta</t>
  </si>
  <si>
    <t>Alta</t>
  </si>
  <si>
    <t>Média</t>
  </si>
  <si>
    <t>Baixa</t>
  </si>
  <si>
    <t>Muito Baixa</t>
  </si>
  <si>
    <t>Ativo</t>
  </si>
  <si>
    <t>Até 15% de chance de ocorrer</t>
  </si>
  <si>
    <t>Entre 16% e 32% de chances</t>
  </si>
  <si>
    <t>Entre 33% e 69% de chances</t>
  </si>
  <si>
    <t>Entre 70% e 89% de chances</t>
  </si>
  <si>
    <t>Ainda não avaliado ou sem chances</t>
  </si>
  <si>
    <t>Mais que 90% de chances de ocorrer</t>
  </si>
  <si>
    <t>Impacto sobre a estimativa de "Custo" e/ou "Prazo"
inicialmente calculada para o projeto.</t>
  </si>
  <si>
    <t>Cartão MasterCard - Fase I</t>
  </si>
  <si>
    <t>CÓDIGO</t>
  </si>
  <si>
    <t>DESCRIÇÃO</t>
  </si>
  <si>
    <t>PORTE</t>
  </si>
  <si>
    <t>TIPO</t>
  </si>
  <si>
    <t>COMPLEXIDADE</t>
  </si>
  <si>
    <t>Qualidade nas entregas dos provedores pode comprometer cronograma.</t>
  </si>
  <si>
    <t>INTEGRAÇÃO SISTEMAS INTERNOS</t>
  </si>
  <si>
    <t>INTEGRAÇÃO SISTEMAS EXTERNOS</t>
  </si>
  <si>
    <t>PROJETOS DEPENDENTES</t>
  </si>
  <si>
    <t>PROJETOS CONCORRENTES</t>
  </si>
  <si>
    <t>Micro</t>
  </si>
  <si>
    <t>Pequeno</t>
  </si>
  <si>
    <t>Médio</t>
  </si>
  <si>
    <t>Grande</t>
  </si>
  <si>
    <t>NRO REQUISITOS DE NEGÓCIO</t>
  </si>
  <si>
    <t>De 200 até 500 horas</t>
  </si>
  <si>
    <t>De 501 até 2000 horas</t>
  </si>
  <si>
    <t>De 2001 até 5000 horas</t>
  </si>
  <si>
    <t>Acima de 5001 horas</t>
  </si>
  <si>
    <t>Novos Produtos e Serviços</t>
  </si>
  <si>
    <t>Migração de Aplicação</t>
  </si>
  <si>
    <t>Demandas Legais</t>
  </si>
  <si>
    <t>Peso</t>
  </si>
  <si>
    <t>Complexidade</t>
  </si>
  <si>
    <t>Percentual</t>
  </si>
  <si>
    <t>Tipo de Projeto</t>
  </si>
  <si>
    <t>VARIAÇÃO POR TIPO DE PROJETO</t>
  </si>
  <si>
    <t>DADOS INFORMATIVOS</t>
  </si>
  <si>
    <t>Entre 1 a 10</t>
  </si>
  <si>
    <t>Entre 11 a 40</t>
  </si>
  <si>
    <t>Entre 41 a 70</t>
  </si>
  <si>
    <t>Entre 71 a 100</t>
  </si>
  <si>
    <t>Acima de 101</t>
  </si>
  <si>
    <t>Sim</t>
  </si>
  <si>
    <t>Aprovação Card Desing e modelos de cartas.</t>
  </si>
  <si>
    <t>Falha no detalhamento (densidade) da especificação funcional e artefatos acessórios.</t>
  </si>
  <si>
    <t>- Obter comprometimento dos patrocinadores para que o fluxo de aprovação seja realizado no prazo determinado.</t>
  </si>
  <si>
    <t>Data Limite</t>
  </si>
  <si>
    <t>PORTE (Horas totais)</t>
  </si>
  <si>
    <r>
      <t xml:space="preserve">REQUISITOS DE NEGÓGIO (Quantidade de </t>
    </r>
    <r>
      <rPr>
        <b/>
        <i/>
        <sz val="11"/>
        <color theme="0"/>
        <rFont val="Calibri"/>
        <family val="2"/>
        <scheme val="minor"/>
      </rPr>
      <t>Use Cases</t>
    </r>
    <r>
      <rPr>
        <b/>
        <sz val="11"/>
        <color theme="0"/>
        <rFont val="Calibri"/>
        <family val="2"/>
        <scheme val="minor"/>
      </rPr>
      <t>)</t>
    </r>
  </si>
  <si>
    <t>- Obter o envolvimento das área de negócio relacionadas junto aos gestores e patrocinadores do projeto através de reuniões de status e atas de reuniões.</t>
  </si>
  <si>
    <t>Certificação chip junto a bandeira MasterCard.</t>
  </si>
  <si>
    <t xml:space="preserve">Mitigar
</t>
  </si>
  <si>
    <t>- Antecipar ao máximo as demandas de fornecedores externos e acompanhar o trabalho dos fornecedores externos.</t>
  </si>
  <si>
    <t>- Acompanhar as etapas de teste integrado e homologação da processadora, embossadora e bandeira.</t>
  </si>
  <si>
    <t>- Obter o comprometimento da área de Marketing envolvendo gestores e patrocinadores para as tarefas sejam cumpridas nos prazos determinados.</t>
  </si>
  <si>
    <t>Aceitar</t>
  </si>
  <si>
    <t xml:space="preserve">- Obter comprometimento das áreas via email e ata de reunião.
 - Acompanhar as demandas com as áreas envolvidas.
</t>
  </si>
  <si>
    <t>- Obter comprometimento das áreas via email e ata de reunião.
- Acompanhar as demandas com as áreas envolvidas.</t>
  </si>
  <si>
    <t>- Acompanhar junto ao provedor os marcos de entrega do cronograma através de reports semanais com processo de validação das entregas dos artefatos diária através de call.</t>
  </si>
  <si>
    <t>- Obter o comprometimento dos patrocinadores, solicitantes e área de negócio relacionadas em etapas de pré-validação durante as fases de desenvolvimento e testes uniários do provedor.</t>
  </si>
  <si>
    <t>- Obter junto ao patrocinador do projeto a retirada desta demanda e inclusão em projeto aberto no portifólio de 2014.</t>
  </si>
  <si>
    <t>EFEITO</t>
  </si>
  <si>
    <t>Descrição da Ação</t>
  </si>
  <si>
    <t>Áreas Afetadas</t>
  </si>
  <si>
    <t>Responsabilidade</t>
  </si>
  <si>
    <t>Risco Residual</t>
  </si>
  <si>
    <t>Risco Secundário</t>
  </si>
  <si>
    <t>Cronograma</t>
  </si>
  <si>
    <t>EVENTO</t>
  </si>
  <si>
    <t>CAUSA</t>
  </si>
  <si>
    <t>Não se aplica</t>
  </si>
  <si>
    <t>Aprovação especificações técnicas junto a processadora</t>
  </si>
  <si>
    <t>Impossiblidade de lançamento do produto</t>
  </si>
  <si>
    <t>Atraso no ínicio dos testes integrados e homologação</t>
  </si>
  <si>
    <t>Possibilidade de não ter o produto saque crédito neste canal</t>
  </si>
  <si>
    <t>Atraso nas fases de desenvolvimento, teste e homologação</t>
  </si>
  <si>
    <t>Realizar Change Request - Prazo</t>
  </si>
  <si>
    <t>Realizar Change Request - Prazo e Custo</t>
  </si>
  <si>
    <t>Possibilidade de Change Request - Prazo</t>
  </si>
  <si>
    <t>Possibilidade de Change Request - Escopo, Prazo e Custo</t>
  </si>
  <si>
    <t>Não inicniar as especificações técnicas</t>
  </si>
  <si>
    <t>Atraso nas fases de especificação, desenvolvimento, teste e homologação</t>
  </si>
  <si>
    <t>Alteração de escopo na fase de desenvolvimento</t>
  </si>
  <si>
    <t>Atraso na fase de homologação</t>
  </si>
  <si>
    <t>Alterações de prazo devido ao retrabalho na etapa de desenvolvimento, sendo necessária novas etapas de teste e homologação</t>
  </si>
  <si>
    <t>Alteração de prazo e custo do projeto</t>
  </si>
  <si>
    <t>Projeto deve ser suspenso devido a falta de prioridade</t>
  </si>
  <si>
    <t>PLANO DE RESPOSTA DOS RISCOS</t>
  </si>
  <si>
    <t>LISTAR DE RISCOS</t>
  </si>
  <si>
    <t>Aquisições</t>
  </si>
  <si>
    <t>Recursos</t>
  </si>
  <si>
    <t>EAP</t>
  </si>
  <si>
    <t>Linha de Base Cronogram</t>
  </si>
  <si>
    <t>Linha de Base dos Custos</t>
  </si>
  <si>
    <t>- Avaliar a possibilidade de homologação exclusiva por parte da área de negócio sem o envolvimento da Qualidade de Sistemas.</t>
  </si>
  <si>
    <t xml:space="preserve"> ATUALIZAÇÕES DO PROJETO PÓS APLICAÇÃO DO PLANO</t>
  </si>
  <si>
    <t>RISCOS PÓS APLICAÇÃO PLANO</t>
  </si>
  <si>
    <t>MONITORAMENTO E CONTROLE</t>
  </si>
  <si>
    <t>Observações</t>
  </si>
  <si>
    <t>ATIVO</t>
  </si>
  <si>
    <t>FINALIZADO</t>
  </si>
  <si>
    <t>MONITORANDO</t>
  </si>
  <si>
    <t>Finalizado</t>
  </si>
  <si>
    <t>Analise_Qualitativa</t>
  </si>
  <si>
    <t>ANÁLISE PRELIMINAR</t>
  </si>
  <si>
    <t xml:space="preserve">IMPACTO </t>
  </si>
  <si>
    <t>Entre 3 a 6</t>
  </si>
  <si>
    <t>Ação Sugerida</t>
  </si>
  <si>
    <t>Ação a Realizar</t>
  </si>
  <si>
    <t>PLANO DE AÇÃO - SUGERIDA</t>
  </si>
  <si>
    <t>AR</t>
  </si>
  <si>
    <t>Contingenciar ou Transferir</t>
  </si>
  <si>
    <t>ANÁLISE RISCOS - QUALITATIVA</t>
  </si>
  <si>
    <t>ANÁLISE RISCOS - QUANTITATIVA</t>
  </si>
  <si>
    <t>Faixas de Estimativa de Custos</t>
  </si>
  <si>
    <t>Elemento da EAP</t>
  </si>
  <si>
    <t>Levantamento</t>
  </si>
  <si>
    <t>Análise</t>
  </si>
  <si>
    <t>Desenvolvimento</t>
  </si>
  <si>
    <t>Testes</t>
  </si>
  <si>
    <t>Homologação</t>
  </si>
  <si>
    <t>Total do Projeto</t>
  </si>
  <si>
    <t>Baixo</t>
  </si>
  <si>
    <t>Mais Provável</t>
  </si>
  <si>
    <t>Alto</t>
  </si>
  <si>
    <t>Cod</t>
  </si>
  <si>
    <t>AC</t>
  </si>
  <si>
    <t>SIM</t>
  </si>
  <si>
    <t>NÃO</t>
  </si>
  <si>
    <t>Não se aplica.</t>
  </si>
  <si>
    <t xml:space="preserve">- Realizar desenvolvimento em conjunto com os projetos paralelos, aumentanto assim a sinergia e produtividade na liberação das versões. </t>
  </si>
  <si>
    <t>Atraso no andamento da demanda pode afetar todos os projetos que dependem da implementação.</t>
  </si>
  <si>
    <t>ST</t>
  </si>
  <si>
    <t>AÇÃO SUGERIDA</t>
  </si>
  <si>
    <t>AÇÃO REALIZADA</t>
  </si>
  <si>
    <t>VARIAÇÃO</t>
  </si>
  <si>
    <t>Durante todas as fases do projeto</t>
  </si>
  <si>
    <t xml:space="preserve">Planejamento </t>
  </si>
  <si>
    <t>PLANO DE AÇÃO</t>
  </si>
  <si>
    <t>- Considerado baixo para o processo, portanto não terá ação relativa ao item.</t>
  </si>
  <si>
    <t>Contigenciar</t>
  </si>
  <si>
    <t>Não aprovação da Change Request.</t>
  </si>
  <si>
    <t>Atraso na entregas dos provedores.</t>
  </si>
  <si>
    <t>Atraso na aprovação do Card Desing.</t>
  </si>
  <si>
    <t>Atraso na homologação.</t>
  </si>
  <si>
    <t>Atraso nas entregas das demandas devido a priorização de outros projetos.</t>
  </si>
  <si>
    <t>Projeto não ser priorizado.</t>
  </si>
  <si>
    <t>- Avaliar impacto no prazo, custo e escopo, para garantir as entregas, considerando o Fator Crítico de Sucesso.</t>
  </si>
  <si>
    <t>Aprovar Change Request.</t>
  </si>
  <si>
    <t>Atraso na execução das atividades do projeto</t>
  </si>
  <si>
    <t>Atraso na entrega da demandas devido ao não operacionalização das atividades.</t>
  </si>
  <si>
    <t>Não comprometimento das áreas nas tarefas relativas aos processos operacionais.</t>
  </si>
  <si>
    <t>Atraso no ínicio da homologação junto a área de negócio.</t>
  </si>
  <si>
    <t>Replanejamento da homologação.</t>
  </si>
  <si>
    <t>Administradora de Cartões</t>
  </si>
  <si>
    <t>Administradora de Cartões 
Marketing</t>
  </si>
  <si>
    <t>Sistemas Cartões</t>
  </si>
  <si>
    <t>Sistemas Cartões
Qualidade Sistemas</t>
  </si>
  <si>
    <t>Sistemas Cartões  Sistemas Contas
Qualidade Sistemas</t>
  </si>
  <si>
    <t>Sistemas Cartões 
Qualidade Sistemas</t>
  </si>
  <si>
    <t>Administradora de Cartões
Sistemas Cartões</t>
  </si>
  <si>
    <t>Todas as área envolvidas no projeto</t>
  </si>
  <si>
    <t>Administradora de Cartões
Sistemas Cartões
Qualidade Sistemas</t>
  </si>
  <si>
    <t>Atraso na entrega dos artefatos para homologação.</t>
  </si>
  <si>
    <t>Atraso na implantação em produção da demanda.</t>
  </si>
  <si>
    <t>Atraso na entrega dos provedores e homologação.</t>
  </si>
  <si>
    <t>Solitação de alteração de escopo do projeto em 2013.</t>
  </si>
  <si>
    <t>ELIMINADO</t>
  </si>
  <si>
    <t>Dificuldade na elaboração das especificações de negócio.</t>
  </si>
  <si>
    <t>Complexidade nas entregas de fornecedores externos (IBM / Accenture / Totvs / Tivit / CSU).</t>
  </si>
  <si>
    <t>Complexidade nas entregas de fornecedores internos técnicos (Arquitetura / Ambientes / Comunicação).</t>
  </si>
  <si>
    <t>Alterações no processo de integração TERMINAL FINANCEIRO - Atraso na entrega da integração com serviços.</t>
  </si>
  <si>
    <t>Falta de recursos para realização do processo de homologação por parte da área de Qualidade</t>
  </si>
  <si>
    <t>Formalização de abertura do projeto realizada após inicio do planejamento.</t>
  </si>
  <si>
    <t>Necessida de refazer o planejamento do projeto, sem a possibilidade de formalização via change request - impacto em prazo e custo não documentado.</t>
  </si>
  <si>
    <t>Eliminado</t>
  </si>
  <si>
    <t>CLASSIFICAÇÃO</t>
  </si>
  <si>
    <t>Genérico</t>
  </si>
  <si>
    <t>CATEGORIZAÇÃO</t>
  </si>
  <si>
    <t>Tecnologia</t>
  </si>
  <si>
    <t>Específico</t>
  </si>
  <si>
    <t>Organizacionais</t>
  </si>
  <si>
    <t>Qualidade</t>
  </si>
  <si>
    <t>Gerenciamento do projeto</t>
  </si>
  <si>
    <t>ITEM</t>
  </si>
  <si>
    <t>Item</t>
  </si>
  <si>
    <t>Vlr Mais Provável</t>
  </si>
  <si>
    <t>Menor que 10%</t>
  </si>
  <si>
    <t>Acima de 60%</t>
  </si>
  <si>
    <t>IMPACTO VALOR CUSTO</t>
  </si>
  <si>
    <t>%</t>
  </si>
  <si>
    <t>Inclusão de novos produtos no escopo do projeto .</t>
  </si>
  <si>
    <t>Impacto Plano de Ação</t>
  </si>
  <si>
    <t>FATOR CRÍTICO DE SUCESSO</t>
  </si>
  <si>
    <t>NOME</t>
  </si>
  <si>
    <t>PROJETO</t>
  </si>
  <si>
    <t>Vlr Contingência</t>
  </si>
  <si>
    <t>Transferir</t>
  </si>
  <si>
    <t>Entre 40 a 60%</t>
  </si>
  <si>
    <t>Aumento de Custo (%)</t>
  </si>
  <si>
    <t>Entre 20 a 40%</t>
  </si>
  <si>
    <t>Entre 10 a 20%</t>
  </si>
  <si>
    <t>0%  Não há sinalização de aumento de custo</t>
  </si>
  <si>
    <t>Avaliar</t>
  </si>
  <si>
    <t xml:space="preserve">Valor Total Contingência </t>
  </si>
  <si>
    <t>Valor Total 
Riscos</t>
  </si>
  <si>
    <t>XXX1</t>
  </si>
  <si>
    <t>XXX2 - Cartão PJ</t>
  </si>
  <si>
    <t>XXX3 - Portal Unicred; XXX4- Melhorias Emissão; XXX5 - Cartão PJ</t>
  </si>
  <si>
    <t>CUSTO</t>
  </si>
  <si>
    <t>GRAU</t>
  </si>
  <si>
    <t>IMPACTO QUANTITATIVO - CUSTO</t>
  </si>
  <si>
    <t>Acima de 6</t>
  </si>
  <si>
    <t>Abaixo de 3</t>
  </si>
  <si>
    <t>Status</t>
  </si>
  <si>
    <t>PLACAR:</t>
  </si>
  <si>
    <t>REPORT EM:</t>
  </si>
  <si>
    <t>Redução de 3 semanas</t>
  </si>
  <si>
    <t>Aumento R$ 50.000,00</t>
  </si>
  <si>
    <t>EFETIVADO</t>
  </si>
  <si>
    <t>Não mensurado</t>
  </si>
  <si>
    <t>Aumento de R$ 15.000,00</t>
  </si>
  <si>
    <t>Redução em 1 semana</t>
  </si>
  <si>
    <t>Aumento prazo 2 semanas</t>
  </si>
  <si>
    <t>Em avaliação</t>
  </si>
  <si>
    <t xml:space="preserve">Disponibilizado 1 recurso de produto e 1 contábil exclusivo para o projeto. Demais em análise. </t>
  </si>
  <si>
    <t>Homologação paralelizada.</t>
  </si>
  <si>
    <t>Prazo compensado no teste e homologação.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</si>
</sst>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_);_(* \(#,##0\);_(* &quot;-&quot;??_);_(@_)"/>
    <numFmt numFmtId="167" formatCode="&quot;R$&quot;\ #,##0"/>
    <numFmt numFmtId="168" formatCode="&quot;R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DE15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3" borderId="0" xfId="0" applyFill="1"/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 wrapText="1"/>
    </xf>
    <xf numFmtId="0" fontId="5" fillId="4" borderId="0" xfId="0" applyFont="1" applyFill="1" applyBorder="1" applyAlignment="1">
      <alignment horizontal="center" wrapText="1"/>
    </xf>
    <xf numFmtId="0" fontId="0" fillId="0" borderId="0" xfId="0" applyBorder="1" applyAlignment="1">
      <alignment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wrapText="1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9" fontId="0" fillId="7" borderId="13" xfId="2" applyFont="1" applyFill="1" applyBorder="1" applyAlignment="1">
      <alignment horizontal="left" vertical="center"/>
    </xf>
    <xf numFmtId="1" fontId="2" fillId="2" borderId="4" xfId="0" applyNumberFormat="1" applyFont="1" applyFill="1" applyBorder="1" applyAlignment="1">
      <alignment vertical="center"/>
    </xf>
    <xf numFmtId="0" fontId="12" fillId="0" borderId="18" xfId="0" applyNumberFormat="1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6" borderId="2" xfId="0" applyFont="1" applyFill="1" applyBorder="1" applyAlignment="1">
      <alignment horizontal="left" vertical="center"/>
    </xf>
    <xf numFmtId="0" fontId="0" fillId="9" borderId="20" xfId="0" applyFont="1" applyFill="1" applyBorder="1" applyAlignment="1">
      <alignment vertical="center" wrapText="1"/>
    </xf>
    <xf numFmtId="0" fontId="0" fillId="7" borderId="20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horizontal="right" vertical="center"/>
    </xf>
    <xf numFmtId="0" fontId="5" fillId="4" borderId="20" xfId="0" applyFont="1" applyFill="1" applyBorder="1" applyAlignment="1">
      <alignment horizontal="center" wrapText="1"/>
    </xf>
    <xf numFmtId="0" fontId="0" fillId="7" borderId="19" xfId="0" applyFont="1" applyFill="1" applyBorder="1" applyAlignment="1">
      <alignment wrapText="1"/>
    </xf>
    <xf numFmtId="0" fontId="0" fillId="9" borderId="20" xfId="0" applyFont="1" applyFill="1" applyBorder="1" applyAlignment="1">
      <alignment wrapText="1"/>
    </xf>
    <xf numFmtId="0" fontId="5" fillId="4" borderId="26" xfId="0" applyFont="1" applyFill="1" applyBorder="1" applyAlignment="1">
      <alignment horizontal="center" vertical="center" wrapText="1"/>
    </xf>
    <xf numFmtId="0" fontId="0" fillId="7" borderId="23" xfId="0" applyFont="1" applyFill="1" applyBorder="1" applyAlignment="1">
      <alignment wrapText="1"/>
    </xf>
    <xf numFmtId="0" fontId="5" fillId="4" borderId="23" xfId="0" applyFont="1" applyFill="1" applyBorder="1" applyAlignment="1">
      <alignment horizontal="center" wrapText="1"/>
    </xf>
    <xf numFmtId="0" fontId="0" fillId="7" borderId="23" xfId="0" applyFont="1" applyFill="1" applyBorder="1" applyAlignment="1">
      <alignment vertical="center" wrapText="1"/>
    </xf>
    <xf numFmtId="0" fontId="0" fillId="9" borderId="23" xfId="0" applyFont="1" applyFill="1" applyBorder="1" applyAlignment="1">
      <alignment vertical="center" wrapText="1"/>
    </xf>
    <xf numFmtId="9" fontId="0" fillId="9" borderId="20" xfId="2" applyFont="1" applyFill="1" applyBorder="1" applyAlignment="1">
      <alignment horizontal="center" vertical="center"/>
    </xf>
    <xf numFmtId="9" fontId="0" fillId="7" borderId="20" xfId="2" applyFont="1" applyFill="1" applyBorder="1" applyAlignment="1">
      <alignment horizontal="center" vertical="center"/>
    </xf>
    <xf numFmtId="9" fontId="0" fillId="9" borderId="23" xfId="2" applyFont="1" applyFill="1" applyBorder="1" applyAlignment="1">
      <alignment horizontal="center" vertical="center"/>
    </xf>
    <xf numFmtId="9" fontId="0" fillId="7" borderId="23" xfId="2" applyFont="1" applyFill="1" applyBorder="1" applyAlignment="1">
      <alignment horizontal="center" vertical="center"/>
    </xf>
    <xf numFmtId="9" fontId="0" fillId="3" borderId="0" xfId="2" applyFont="1" applyFill="1"/>
    <xf numFmtId="9" fontId="0" fillId="0" borderId="18" xfId="2" applyFont="1" applyBorder="1" applyAlignment="1">
      <alignment horizontal="center" vertical="center"/>
    </xf>
    <xf numFmtId="2" fontId="0" fillId="0" borderId="18" xfId="1" applyNumberFormat="1" applyFont="1" applyFill="1" applyBorder="1" applyAlignment="1">
      <alignment horizontal="center" vertical="center"/>
    </xf>
    <xf numFmtId="1" fontId="4" fillId="0" borderId="18" xfId="0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165" fontId="9" fillId="0" borderId="18" xfId="1" applyFont="1" applyFill="1" applyBorder="1" applyAlignment="1">
      <alignment horizontal="center" vertical="center"/>
    </xf>
    <xf numFmtId="2" fontId="10" fillId="0" borderId="18" xfId="1" applyNumberFormat="1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8" fillId="0" borderId="18" xfId="0" applyFont="1" applyFill="1" applyBorder="1" applyAlignment="1">
      <alignment horizontal="left" vertical="center" wrapText="1"/>
    </xf>
    <xf numFmtId="164" fontId="18" fillId="0" borderId="18" xfId="3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1" fillId="0" borderId="35" xfId="0" applyFont="1" applyFill="1" applyBorder="1" applyAlignment="1">
      <alignment horizontal="center" vertical="center" wrapText="1"/>
    </xf>
    <xf numFmtId="14" fontId="11" fillId="0" borderId="35" xfId="0" applyNumberFormat="1" applyFont="1" applyFill="1" applyBorder="1" applyAlignment="1">
      <alignment horizontal="center" vertical="center" wrapText="1"/>
    </xf>
    <xf numFmtId="49" fontId="11" fillId="0" borderId="18" xfId="0" applyNumberFormat="1" applyFont="1" applyFill="1" applyBorder="1" applyAlignment="1">
      <alignment horizontal="left" vertical="top" wrapText="1"/>
    </xf>
    <xf numFmtId="0" fontId="19" fillId="3" borderId="0" xfId="0" applyFont="1" applyFill="1"/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18" fillId="0" borderId="18" xfId="0" applyNumberFormat="1" applyFont="1" applyFill="1" applyBorder="1" applyAlignment="1">
      <alignment horizontal="left" vertical="center" wrapText="1"/>
    </xf>
    <xf numFmtId="16" fontId="19" fillId="3" borderId="0" xfId="0" applyNumberFormat="1" applyFont="1" applyFill="1"/>
    <xf numFmtId="0" fontId="10" fillId="0" borderId="18" xfId="0" applyFont="1" applyFill="1" applyBorder="1" applyAlignment="1">
      <alignment horizontal="left" vertical="center" wrapText="1"/>
    </xf>
    <xf numFmtId="0" fontId="10" fillId="10" borderId="29" xfId="0" applyFont="1" applyFill="1" applyBorder="1" applyAlignment="1">
      <alignment horizontal="left" vertical="center" wrapText="1"/>
    </xf>
    <xf numFmtId="0" fontId="10" fillId="7" borderId="20" xfId="0" applyFont="1" applyFill="1" applyBorder="1" applyAlignment="1">
      <alignment vertical="center" wrapText="1"/>
    </xf>
    <xf numFmtId="0" fontId="10" fillId="9" borderId="23" xfId="0" applyFont="1" applyFill="1" applyBorder="1" applyAlignment="1">
      <alignment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23" fillId="0" borderId="50" xfId="0" applyFont="1" applyBorder="1" applyAlignment="1">
      <alignment horizontal="right" vertical="center"/>
    </xf>
    <xf numFmtId="167" fontId="23" fillId="0" borderId="49" xfId="3" applyNumberFormat="1" applyFont="1" applyBorder="1" applyAlignment="1">
      <alignment horizontal="center"/>
    </xf>
    <xf numFmtId="0" fontId="23" fillId="0" borderId="51" xfId="0" applyFont="1" applyBorder="1" applyAlignment="1">
      <alignment horizontal="right" vertical="center"/>
    </xf>
    <xf numFmtId="0" fontId="23" fillId="0" borderId="52" xfId="0" applyFont="1" applyBorder="1" applyAlignment="1">
      <alignment horizontal="right" vertical="center"/>
    </xf>
    <xf numFmtId="0" fontId="15" fillId="6" borderId="3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center" wrapText="1"/>
    </xf>
    <xf numFmtId="0" fontId="5" fillId="4" borderId="24" xfId="0" applyFont="1" applyFill="1" applyBorder="1" applyAlignment="1">
      <alignment horizont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24" fillId="0" borderId="36" xfId="0" applyFont="1" applyFill="1" applyBorder="1" applyAlignment="1">
      <alignment horizontal="left" vertical="center" wrapText="1"/>
    </xf>
    <xf numFmtId="0" fontId="24" fillId="0" borderId="38" xfId="0" applyFont="1" applyFill="1" applyBorder="1" applyAlignment="1">
      <alignment horizontal="left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left" vertical="center" wrapText="1"/>
    </xf>
    <xf numFmtId="14" fontId="18" fillId="0" borderId="29" xfId="0" applyNumberFormat="1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0" fillId="3" borderId="55" xfId="0" applyFill="1" applyBorder="1"/>
    <xf numFmtId="0" fontId="0" fillId="3" borderId="56" xfId="0" applyFill="1" applyBorder="1"/>
    <xf numFmtId="0" fontId="0" fillId="3" borderId="57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7" xfId="0" applyFill="1" applyBorder="1"/>
    <xf numFmtId="0" fontId="19" fillId="3" borderId="0" xfId="0" applyFont="1" applyFill="1" applyBorder="1"/>
    <xf numFmtId="0" fontId="25" fillId="3" borderId="0" xfId="0" applyFont="1" applyFill="1" applyBorder="1"/>
    <xf numFmtId="0" fontId="0" fillId="3" borderId="38" xfId="0" applyFill="1" applyBorder="1"/>
    <xf numFmtId="0" fontId="0" fillId="3" borderId="58" xfId="0" applyFill="1" applyBorder="1"/>
    <xf numFmtId="0" fontId="0" fillId="3" borderId="49" xfId="0" applyFill="1" applyBorder="1"/>
    <xf numFmtId="14" fontId="11" fillId="0" borderId="18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left" vertical="center" wrapText="1"/>
    </xf>
    <xf numFmtId="0" fontId="12" fillId="0" borderId="49" xfId="0" applyNumberFormat="1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 wrapText="1"/>
    </xf>
    <xf numFmtId="49" fontId="11" fillId="0" borderId="29" xfId="0" applyNumberFormat="1" applyFont="1" applyFill="1" applyBorder="1" applyAlignment="1">
      <alignment horizontal="left" vertical="top" wrapText="1"/>
    </xf>
    <xf numFmtId="14" fontId="11" fillId="0" borderId="29" xfId="0" applyNumberFormat="1" applyFont="1" applyFill="1" applyBorder="1" applyAlignment="1">
      <alignment horizontal="center" vertical="center" wrapText="1"/>
    </xf>
    <xf numFmtId="14" fontId="11" fillId="0" borderId="38" xfId="0" applyNumberFormat="1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4" fillId="0" borderId="37" xfId="0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7" fillId="6" borderId="46" xfId="0" quotePrefix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3" applyFont="1" applyAlignment="1">
      <alignment horizontal="left" vertical="center"/>
    </xf>
    <xf numFmtId="0" fontId="0" fillId="9" borderId="63" xfId="0" applyFont="1" applyFill="1" applyBorder="1" applyAlignment="1">
      <alignment vertical="center" wrapText="1"/>
    </xf>
    <xf numFmtId="0" fontId="5" fillId="4" borderId="61" xfId="0" applyFont="1" applyFill="1" applyBorder="1" applyAlignment="1">
      <alignment horizontal="center" wrapText="1"/>
    </xf>
    <xf numFmtId="0" fontId="5" fillId="4" borderId="62" xfId="0" applyFont="1" applyFill="1" applyBorder="1" applyAlignment="1">
      <alignment horizontal="center" wrapText="1"/>
    </xf>
    <xf numFmtId="0" fontId="5" fillId="4" borderId="64" xfId="0" applyFont="1" applyFill="1" applyBorder="1" applyAlignment="1">
      <alignment horizontal="center" wrapText="1"/>
    </xf>
    <xf numFmtId="9" fontId="0" fillId="7" borderId="64" xfId="2" applyFont="1" applyFill="1" applyBorder="1" applyAlignment="1">
      <alignment horizontal="center" vertical="center"/>
    </xf>
    <xf numFmtId="0" fontId="0" fillId="7" borderId="64" xfId="0" applyFont="1" applyFill="1" applyBorder="1" applyAlignment="1">
      <alignment vertical="center" wrapText="1"/>
    </xf>
    <xf numFmtId="9" fontId="0" fillId="9" borderId="63" xfId="2" applyFont="1" applyFill="1" applyBorder="1" applyAlignment="1">
      <alignment horizontal="center" vertical="center"/>
    </xf>
    <xf numFmtId="0" fontId="5" fillId="4" borderId="65" xfId="0" applyFont="1" applyFill="1" applyBorder="1" applyAlignment="1">
      <alignment horizontal="center" vertical="center" wrapText="1"/>
    </xf>
    <xf numFmtId="0" fontId="5" fillId="4" borderId="66" xfId="0" applyFont="1" applyFill="1" applyBorder="1" applyAlignment="1">
      <alignment horizontal="center" wrapText="1"/>
    </xf>
    <xf numFmtId="0" fontId="5" fillId="4" borderId="67" xfId="0" applyFont="1" applyFill="1" applyBorder="1" applyAlignment="1">
      <alignment horizontal="center" wrapText="1"/>
    </xf>
    <xf numFmtId="0" fontId="10" fillId="9" borderId="64" xfId="0" applyFont="1" applyFill="1" applyBorder="1" applyAlignment="1">
      <alignment vertical="center" wrapText="1"/>
    </xf>
    <xf numFmtId="9" fontId="0" fillId="9" borderId="23" xfId="0" applyNumberFormat="1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12" fillId="0" borderId="18" xfId="0" applyNumberFormat="1" applyFont="1" applyFill="1" applyBorder="1" applyAlignment="1">
      <alignment horizontal="center" vertical="center" wrapText="1"/>
    </xf>
    <xf numFmtId="14" fontId="18" fillId="0" borderId="29" xfId="0" quotePrefix="1" applyNumberFormat="1" applyFont="1" applyFill="1" applyBorder="1" applyAlignment="1">
      <alignment horizontal="center" vertical="center" wrapText="1"/>
    </xf>
    <xf numFmtId="49" fontId="22" fillId="2" borderId="33" xfId="0" applyNumberFormat="1" applyFont="1" applyFill="1" applyBorder="1" applyAlignment="1">
      <alignment horizontal="center" vertical="center"/>
    </xf>
    <xf numFmtId="9" fontId="0" fillId="0" borderId="18" xfId="2" applyFont="1" applyFill="1" applyBorder="1" applyAlignment="1">
      <alignment horizontal="center" vertical="center"/>
    </xf>
    <xf numFmtId="164" fontId="10" fillId="0" borderId="18" xfId="3" applyFont="1" applyFill="1" applyBorder="1" applyAlignment="1">
      <alignment horizontal="center" vertical="center"/>
    </xf>
    <xf numFmtId="164" fontId="19" fillId="0" borderId="29" xfId="3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 wrapText="1"/>
    </xf>
    <xf numFmtId="9" fontId="0" fillId="0" borderId="29" xfId="2" applyFont="1" applyFill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1" fontId="11" fillId="0" borderId="73" xfId="0" applyNumberFormat="1" applyFont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 wrapText="1"/>
    </xf>
    <xf numFmtId="1" fontId="4" fillId="0" borderId="35" xfId="0" applyNumberFormat="1" applyFont="1" applyFill="1" applyBorder="1" applyAlignment="1">
      <alignment horizontal="center" vertical="center" wrapText="1"/>
    </xf>
    <xf numFmtId="164" fontId="11" fillId="0" borderId="73" xfId="3" applyFont="1" applyBorder="1" applyAlignment="1">
      <alignment horizontal="center" vertical="center"/>
    </xf>
    <xf numFmtId="165" fontId="12" fillId="0" borderId="73" xfId="1" applyFont="1" applyBorder="1" applyAlignment="1">
      <alignment horizontal="center" vertical="center"/>
    </xf>
    <xf numFmtId="166" fontId="11" fillId="0" borderId="73" xfId="1" applyNumberFormat="1" applyFont="1" applyBorder="1" applyAlignment="1">
      <alignment horizontal="center" vertical="center"/>
    </xf>
    <xf numFmtId="164" fontId="10" fillId="0" borderId="29" xfId="3" applyFont="1" applyFill="1" applyBorder="1" applyAlignment="1">
      <alignment horizontal="center" vertical="center"/>
    </xf>
    <xf numFmtId="164" fontId="10" fillId="0" borderId="18" xfId="3" quotePrefix="1" applyFont="1" applyFill="1" applyBorder="1" applyAlignment="1">
      <alignment horizontal="center" vertical="center"/>
    </xf>
    <xf numFmtId="164" fontId="0" fillId="0" borderId="0" xfId="3" applyFont="1"/>
    <xf numFmtId="0" fontId="14" fillId="8" borderId="6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49" fontId="22" fillId="2" borderId="33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3" fillId="13" borderId="13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center" vertical="center"/>
    </xf>
    <xf numFmtId="167" fontId="23" fillId="0" borderId="38" xfId="3" applyNumberFormat="1" applyFont="1" applyBorder="1" applyAlignment="1">
      <alignment horizontal="center"/>
    </xf>
    <xf numFmtId="167" fontId="23" fillId="0" borderId="58" xfId="3" applyNumberFormat="1" applyFont="1" applyBorder="1" applyAlignment="1">
      <alignment horizontal="center"/>
    </xf>
    <xf numFmtId="167" fontId="23" fillId="0" borderId="1" xfId="3" applyNumberFormat="1" applyFont="1" applyBorder="1" applyAlignment="1">
      <alignment horizontal="center"/>
    </xf>
    <xf numFmtId="167" fontId="23" fillId="13" borderId="75" xfId="3" applyNumberFormat="1" applyFont="1" applyFill="1" applyBorder="1" applyAlignment="1">
      <alignment horizontal="center"/>
    </xf>
    <xf numFmtId="167" fontId="23" fillId="0" borderId="17" xfId="3" applyNumberFormat="1" applyFont="1" applyBorder="1" applyAlignment="1">
      <alignment horizontal="center"/>
    </xf>
    <xf numFmtId="167" fontId="23" fillId="13" borderId="76" xfId="3" applyNumberFormat="1" applyFont="1" applyFill="1" applyBorder="1" applyAlignment="1">
      <alignment horizontal="center"/>
    </xf>
    <xf numFmtId="0" fontId="14" fillId="2" borderId="77" xfId="0" applyFont="1" applyFill="1" applyBorder="1" applyAlignment="1">
      <alignment horizontal="center" vertical="center"/>
    </xf>
    <xf numFmtId="167" fontId="23" fillId="0" borderId="78" xfId="3" applyNumberFormat="1" applyFont="1" applyBorder="1" applyAlignment="1">
      <alignment horizontal="center"/>
    </xf>
    <xf numFmtId="167" fontId="23" fillId="0" borderId="79" xfId="3" applyNumberFormat="1" applyFont="1" applyBorder="1" applyAlignment="1">
      <alignment horizontal="center"/>
    </xf>
    <xf numFmtId="167" fontId="23" fillId="13" borderId="80" xfId="3" applyNumberFormat="1" applyFont="1" applyFill="1" applyBorder="1" applyAlignment="1">
      <alignment horizontal="center"/>
    </xf>
    <xf numFmtId="0" fontId="9" fillId="0" borderId="71" xfId="0" applyFont="1" applyFill="1" applyBorder="1" applyAlignment="1">
      <alignment horizontal="center" vertical="center" wrapText="1"/>
    </xf>
    <xf numFmtId="0" fontId="9" fillId="0" borderId="72" xfId="0" applyFont="1" applyFill="1" applyBorder="1" applyAlignment="1">
      <alignment horizontal="center" vertical="center" wrapText="1"/>
    </xf>
    <xf numFmtId="0" fontId="9" fillId="0" borderId="69" xfId="0" applyFont="1" applyFill="1" applyBorder="1" applyAlignment="1">
      <alignment horizontal="center" vertical="center" wrapText="1"/>
    </xf>
    <xf numFmtId="164" fontId="0" fillId="0" borderId="0" xfId="3" applyFont="1" applyAlignment="1">
      <alignment horizontal="center" vertical="center"/>
    </xf>
    <xf numFmtId="164" fontId="11" fillId="0" borderId="81" xfId="3" applyFont="1" applyBorder="1" applyAlignment="1">
      <alignment horizontal="center" vertical="center"/>
    </xf>
    <xf numFmtId="164" fontId="11" fillId="0" borderId="13" xfId="3" applyFont="1" applyBorder="1" applyAlignment="1">
      <alignment horizontal="center" vertical="center"/>
    </xf>
    <xf numFmtId="165" fontId="14" fillId="2" borderId="13" xfId="1" applyNumberFormat="1" applyFont="1" applyFill="1" applyBorder="1" applyAlignment="1">
      <alignment horizontal="center" vertical="center" wrapText="1"/>
    </xf>
    <xf numFmtId="164" fontId="14" fillId="15" borderId="13" xfId="3" applyFont="1" applyFill="1" applyBorder="1" applyAlignment="1">
      <alignment horizontal="center" vertical="center"/>
    </xf>
    <xf numFmtId="164" fontId="28" fillId="14" borderId="13" xfId="3" applyFont="1" applyFill="1" applyBorder="1" applyAlignment="1">
      <alignment horizontal="center" vertical="center"/>
    </xf>
    <xf numFmtId="168" fontId="3" fillId="0" borderId="0" xfId="3" applyNumberFormat="1" applyFont="1" applyAlignment="1">
      <alignment horizontal="center" vertical="center"/>
    </xf>
    <xf numFmtId="168" fontId="15" fillId="6" borderId="3" xfId="0" applyNumberFormat="1" applyFont="1" applyFill="1" applyBorder="1" applyAlignment="1">
      <alignment horizontal="center" vertical="center"/>
    </xf>
    <xf numFmtId="168" fontId="14" fillId="8" borderId="0" xfId="0" applyNumberFormat="1" applyFont="1" applyFill="1" applyBorder="1" applyAlignment="1">
      <alignment horizontal="center" vertical="center"/>
    </xf>
    <xf numFmtId="168" fontId="18" fillId="0" borderId="29" xfId="3" applyNumberFormat="1" applyFont="1" applyFill="1" applyBorder="1" applyAlignment="1">
      <alignment horizontal="center" vertical="center" wrapText="1"/>
    </xf>
    <xf numFmtId="0" fontId="12" fillId="0" borderId="36" xfId="0" applyNumberFormat="1" applyFont="1" applyFill="1" applyBorder="1" applyAlignment="1">
      <alignment horizontal="center" vertical="center" wrapText="1"/>
    </xf>
    <xf numFmtId="0" fontId="11" fillId="11" borderId="37" xfId="0" applyNumberFormat="1" applyFont="1" applyFill="1" applyBorder="1" applyAlignment="1">
      <alignment horizontal="left" vertical="center" wrapText="1"/>
    </xf>
    <xf numFmtId="0" fontId="12" fillId="0" borderId="30" xfId="0" applyNumberFormat="1" applyFont="1" applyFill="1" applyBorder="1" applyAlignment="1">
      <alignment horizontal="center" vertical="center" wrapText="1"/>
    </xf>
    <xf numFmtId="0" fontId="11" fillId="0" borderId="37" xfId="0" applyNumberFormat="1" applyFont="1" applyFill="1" applyBorder="1" applyAlignment="1">
      <alignment horizontal="left" vertical="center" wrapText="1"/>
    </xf>
    <xf numFmtId="0" fontId="10" fillId="0" borderId="31" xfId="0" applyFont="1" applyFill="1" applyBorder="1" applyAlignment="1">
      <alignment horizontal="left" vertical="center" wrapText="1"/>
    </xf>
    <xf numFmtId="0" fontId="12" fillId="0" borderId="32" xfId="0" applyNumberFormat="1" applyFont="1" applyFill="1" applyBorder="1" applyAlignment="1">
      <alignment horizontal="center" vertical="center" wrapText="1"/>
    </xf>
    <xf numFmtId="0" fontId="12" fillId="0" borderId="73" xfId="0" applyNumberFormat="1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left" vertical="center" wrapText="1"/>
    </xf>
    <xf numFmtId="0" fontId="18" fillId="0" borderId="73" xfId="0" applyFont="1" applyFill="1" applyBorder="1" applyAlignment="1">
      <alignment horizontal="center" vertical="center" wrapText="1"/>
    </xf>
    <xf numFmtId="0" fontId="10" fillId="10" borderId="73" xfId="0" applyFont="1" applyFill="1" applyBorder="1" applyAlignment="1">
      <alignment horizontal="left" vertical="center" wrapText="1"/>
    </xf>
    <xf numFmtId="0" fontId="10" fillId="0" borderId="34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65" fontId="12" fillId="0" borderId="18" xfId="1" applyFont="1" applyBorder="1" applyAlignment="1">
      <alignment horizontal="center" vertical="center"/>
    </xf>
    <xf numFmtId="166" fontId="11" fillId="0" borderId="18" xfId="1" applyNumberFormat="1" applyFont="1" applyBorder="1" applyAlignment="1">
      <alignment horizontal="center" vertical="center"/>
    </xf>
    <xf numFmtId="1" fontId="11" fillId="0" borderId="18" xfId="0" applyNumberFormat="1" applyFont="1" applyBorder="1" applyAlignment="1">
      <alignment horizontal="center" vertical="center"/>
    </xf>
    <xf numFmtId="0" fontId="11" fillId="0" borderId="0" xfId="0" applyFont="1" applyBorder="1"/>
    <xf numFmtId="168" fontId="22" fillId="2" borderId="14" xfId="3" applyNumberFormat="1" applyFont="1" applyFill="1" applyBorder="1" applyAlignment="1">
      <alignment horizontal="center" vertical="center"/>
    </xf>
    <xf numFmtId="0" fontId="11" fillId="0" borderId="0" xfId="0" applyFont="1"/>
    <xf numFmtId="0" fontId="15" fillId="6" borderId="3" xfId="0" applyFont="1" applyFill="1" applyBorder="1" applyAlignment="1">
      <alignment horizontal="left" vertical="center"/>
    </xf>
    <xf numFmtId="0" fontId="7" fillId="6" borderId="47" xfId="0" quotePrefix="1" applyFont="1" applyFill="1" applyBorder="1" applyAlignment="1">
      <alignment horizontal="center" vertical="center"/>
    </xf>
    <xf numFmtId="0" fontId="7" fillId="6" borderId="87" xfId="0" applyFont="1" applyFill="1" applyBorder="1" applyAlignment="1">
      <alignment horizontal="center" vertical="center"/>
    </xf>
    <xf numFmtId="0" fontId="6" fillId="0" borderId="0" xfId="0" applyFont="1"/>
    <xf numFmtId="14" fontId="18" fillId="0" borderId="29" xfId="0" applyNumberFormat="1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 wrapText="1"/>
    </xf>
    <xf numFmtId="9" fontId="5" fillId="4" borderId="4" xfId="2" applyFont="1" applyFill="1" applyBorder="1" applyAlignment="1">
      <alignment horizontal="center" vertical="center" wrapText="1"/>
    </xf>
    <xf numFmtId="9" fontId="0" fillId="7" borderId="21" xfId="2" quotePrefix="1" applyNumberFormat="1" applyFont="1" applyFill="1" applyBorder="1" applyAlignment="1">
      <alignment horizontal="center" wrapText="1"/>
    </xf>
    <xf numFmtId="9" fontId="0" fillId="7" borderId="25" xfId="2" applyNumberFormat="1" applyFont="1" applyFill="1" applyBorder="1" applyAlignment="1">
      <alignment horizontal="center" wrapText="1"/>
    </xf>
    <xf numFmtId="9" fontId="0" fillId="9" borderId="22" xfId="2" applyFont="1" applyFill="1" applyBorder="1" applyAlignment="1">
      <alignment horizontal="center" wrapText="1"/>
    </xf>
    <xf numFmtId="9" fontId="0" fillId="9" borderId="24" xfId="2" applyFont="1" applyFill="1" applyBorder="1" applyAlignment="1">
      <alignment horizontal="center" wrapText="1"/>
    </xf>
    <xf numFmtId="9" fontId="5" fillId="4" borderId="2" xfId="2" applyFont="1" applyFill="1" applyBorder="1" applyAlignment="1">
      <alignment horizontal="left" vertical="center" wrapText="1"/>
    </xf>
    <xf numFmtId="9" fontId="5" fillId="4" borderId="4" xfId="2" applyFont="1" applyFill="1" applyBorder="1" applyAlignment="1">
      <alignment horizontal="left" vertical="center" wrapText="1"/>
    </xf>
    <xf numFmtId="9" fontId="0" fillId="7" borderId="27" xfId="2" applyFont="1" applyFill="1" applyBorder="1" applyAlignment="1">
      <alignment horizontal="center" wrapText="1"/>
    </xf>
    <xf numFmtId="9" fontId="0" fillId="7" borderId="28" xfId="2" applyFont="1" applyFill="1" applyBorder="1" applyAlignment="1">
      <alignment horizontal="center" wrapText="1"/>
    </xf>
    <xf numFmtId="0" fontId="14" fillId="8" borderId="6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left" vertical="center"/>
    </xf>
    <xf numFmtId="0" fontId="15" fillId="6" borderId="12" xfId="0" applyFont="1" applyFill="1" applyBorder="1" applyAlignment="1">
      <alignment horizontal="left" vertical="center"/>
    </xf>
    <xf numFmtId="49" fontId="2" fillId="2" borderId="60" xfId="0" applyNumberFormat="1" applyFont="1" applyFill="1" applyBorder="1" applyAlignment="1">
      <alignment horizontal="center" vertical="center"/>
    </xf>
    <xf numFmtId="49" fontId="2" fillId="2" borderId="74" xfId="0" applyNumberFormat="1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left"/>
    </xf>
    <xf numFmtId="0" fontId="14" fillId="8" borderId="3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49" fontId="8" fillId="6" borderId="6" xfId="0" applyNumberFormat="1" applyFont="1" applyFill="1" applyBorder="1" applyAlignment="1">
      <alignment horizontal="center"/>
    </xf>
    <xf numFmtId="49" fontId="8" fillId="6" borderId="7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8" fillId="6" borderId="68" xfId="0" applyNumberFormat="1" applyFont="1" applyFill="1" applyBorder="1" applyAlignment="1">
      <alignment horizontal="center"/>
    </xf>
    <xf numFmtId="49" fontId="8" fillId="6" borderId="55" xfId="0" applyNumberFormat="1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5" xfId="0" applyFont="1" applyFill="1" applyBorder="1" applyAlignment="1">
      <alignment horizontal="left"/>
    </xf>
    <xf numFmtId="0" fontId="7" fillId="6" borderId="3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1" fontId="2" fillId="2" borderId="71" xfId="0" applyNumberFormat="1" applyFont="1" applyFill="1" applyBorder="1" applyAlignment="1">
      <alignment horizontal="center" vertical="center"/>
    </xf>
    <xf numFmtId="1" fontId="2" fillId="2" borderId="72" xfId="0" applyNumberFormat="1" applyFont="1" applyFill="1" applyBorder="1" applyAlignment="1">
      <alignment horizontal="center" vertical="center"/>
    </xf>
    <xf numFmtId="1" fontId="2" fillId="2" borderId="69" xfId="0" applyNumberFormat="1" applyFont="1" applyFill="1" applyBorder="1" applyAlignment="1">
      <alignment horizontal="center" vertical="center"/>
    </xf>
    <xf numFmtId="1" fontId="2" fillId="2" borderId="60" xfId="0" applyNumberFormat="1" applyFont="1" applyFill="1" applyBorder="1" applyAlignment="1">
      <alignment horizontal="center" vertical="center"/>
    </xf>
    <xf numFmtId="1" fontId="2" fillId="2" borderId="74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8" fontId="2" fillId="2" borderId="11" xfId="3" applyNumberFormat="1" applyFont="1" applyFill="1" applyBorder="1" applyAlignment="1">
      <alignment horizontal="center" vertical="center"/>
    </xf>
    <xf numFmtId="168" fontId="2" fillId="2" borderId="12" xfId="3" applyNumberFormat="1" applyFont="1" applyFill="1" applyBorder="1" applyAlignment="1">
      <alignment horizontal="center" vertical="center"/>
    </xf>
    <xf numFmtId="168" fontId="2" fillId="2" borderId="8" xfId="3" applyNumberFormat="1" applyFont="1" applyFill="1" applyBorder="1" applyAlignment="1">
      <alignment horizontal="center" vertical="center"/>
    </xf>
    <xf numFmtId="168" fontId="2" fillId="2" borderId="10" xfId="3" applyNumberFormat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left" vertical="center" wrapText="1"/>
    </xf>
    <xf numFmtId="0" fontId="2" fillId="2" borderId="5" xfId="0" quotePrefix="1" applyFont="1" applyFill="1" applyBorder="1" applyAlignment="1">
      <alignment horizontal="left" vertical="center" wrapText="1"/>
    </xf>
    <xf numFmtId="0" fontId="2" fillId="2" borderId="12" xfId="0" quotePrefix="1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0" fontId="2" fillId="2" borderId="9" xfId="0" quotePrefix="1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4" fontId="7" fillId="6" borderId="6" xfId="0" applyNumberFormat="1" applyFont="1" applyFill="1" applyBorder="1" applyAlignment="1">
      <alignment horizontal="center" vertical="center"/>
    </xf>
    <xf numFmtId="14" fontId="7" fillId="6" borderId="0" xfId="0" applyNumberFormat="1" applyFont="1" applyFill="1" applyBorder="1" applyAlignment="1">
      <alignment horizontal="center" vertical="center"/>
    </xf>
    <xf numFmtId="14" fontId="7" fillId="6" borderId="7" xfId="0" applyNumberFormat="1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4" fontId="7" fillId="6" borderId="10" xfId="0" applyNumberFormat="1" applyFont="1" applyFill="1" applyBorder="1" applyAlignment="1">
      <alignment horizontal="center" vertical="center"/>
    </xf>
    <xf numFmtId="14" fontId="7" fillId="6" borderId="11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14" fontId="7" fillId="6" borderId="12" xfId="0" applyNumberFormat="1" applyFont="1" applyFill="1" applyBorder="1" applyAlignment="1">
      <alignment horizontal="center" vertical="center"/>
    </xf>
    <xf numFmtId="49" fontId="22" fillId="2" borderId="40" xfId="0" applyNumberFormat="1" applyFont="1" applyFill="1" applyBorder="1" applyAlignment="1">
      <alignment horizontal="center" vertical="center"/>
    </xf>
    <xf numFmtId="49" fontId="22" fillId="2" borderId="33" xfId="0" applyNumberFormat="1" applyFont="1" applyFill="1" applyBorder="1" applyAlignment="1">
      <alignment horizontal="center" vertical="center"/>
    </xf>
    <xf numFmtId="0" fontId="12" fillId="0" borderId="18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left" vertical="center" wrapText="1"/>
    </xf>
    <xf numFmtId="49" fontId="22" fillId="2" borderId="41" xfId="0" applyNumberFormat="1" applyFont="1" applyFill="1" applyBorder="1" applyAlignment="1">
      <alignment horizontal="center" vertical="center"/>
    </xf>
    <xf numFmtId="49" fontId="22" fillId="2" borderId="34" xfId="0" applyNumberFormat="1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6" fillId="2" borderId="11" xfId="0" quotePrefix="1" applyFont="1" applyFill="1" applyBorder="1" applyAlignment="1">
      <alignment horizontal="center" vertical="center" wrapText="1"/>
    </xf>
    <xf numFmtId="0" fontId="16" fillId="2" borderId="12" xfId="0" quotePrefix="1" applyFont="1" applyFill="1" applyBorder="1" applyAlignment="1">
      <alignment horizontal="center" vertical="center" wrapText="1"/>
    </xf>
    <xf numFmtId="0" fontId="16" fillId="2" borderId="6" xfId="0" quotePrefix="1" applyFont="1" applyFill="1" applyBorder="1" applyAlignment="1">
      <alignment horizontal="center" vertical="center" wrapText="1"/>
    </xf>
    <xf numFmtId="0" fontId="16" fillId="2" borderId="7" xfId="0" quotePrefix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49" fontId="22" fillId="2" borderId="39" xfId="0" applyNumberFormat="1" applyFont="1" applyFill="1" applyBorder="1" applyAlignment="1">
      <alignment horizontal="center" vertical="center"/>
    </xf>
    <xf numFmtId="49" fontId="22" fillId="2" borderId="32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6" fillId="2" borderId="85" xfId="0" applyFont="1" applyFill="1" applyBorder="1" applyAlignment="1">
      <alignment horizontal="center" vertical="center" wrapText="1"/>
    </xf>
    <xf numFmtId="0" fontId="16" fillId="2" borderId="86" xfId="0" applyFont="1" applyFill="1" applyBorder="1" applyAlignment="1">
      <alignment horizontal="center" vertical="center" wrapText="1"/>
    </xf>
    <xf numFmtId="0" fontId="16" fillId="2" borderId="44" xfId="0" quotePrefix="1" applyFont="1" applyFill="1" applyBorder="1" applyAlignment="1">
      <alignment horizontal="center" vertical="center" wrapText="1"/>
    </xf>
    <xf numFmtId="0" fontId="16" fillId="2" borderId="45" xfId="0" quotePrefix="1" applyFont="1" applyFill="1" applyBorder="1" applyAlignment="1">
      <alignment horizontal="center" vertical="center" wrapText="1"/>
    </xf>
    <xf numFmtId="0" fontId="16" fillId="2" borderId="43" xfId="0" quotePrefix="1" applyFont="1" applyFill="1" applyBorder="1" applyAlignment="1">
      <alignment horizontal="center" vertical="center" wrapText="1"/>
    </xf>
    <xf numFmtId="0" fontId="16" fillId="2" borderId="42" xfId="0" quotePrefix="1" applyFont="1" applyFill="1" applyBorder="1" applyAlignment="1">
      <alignment horizontal="center" vertical="center" wrapText="1"/>
    </xf>
    <xf numFmtId="49" fontId="22" fillId="2" borderId="82" xfId="0" quotePrefix="1" applyNumberFormat="1" applyFont="1" applyFill="1" applyBorder="1" applyAlignment="1">
      <alignment horizontal="center" vertical="center"/>
    </xf>
    <xf numFmtId="49" fontId="22" fillId="2" borderId="83" xfId="0" quotePrefix="1" applyNumberFormat="1" applyFont="1" applyFill="1" applyBorder="1" applyAlignment="1">
      <alignment horizontal="center" vertical="center"/>
    </xf>
    <xf numFmtId="49" fontId="22" fillId="2" borderId="1" xfId="0" quotePrefix="1" applyNumberFormat="1" applyFont="1" applyFill="1" applyBorder="1" applyAlignment="1">
      <alignment horizontal="center" vertical="center"/>
    </xf>
    <xf numFmtId="49" fontId="22" fillId="2" borderId="17" xfId="0" quotePrefix="1" applyNumberFormat="1" applyFont="1" applyFill="1" applyBorder="1" applyAlignment="1">
      <alignment horizontal="center" vertical="center"/>
    </xf>
    <xf numFmtId="49" fontId="22" fillId="2" borderId="81" xfId="0" quotePrefix="1" applyNumberFormat="1" applyFont="1" applyFill="1" applyBorder="1" applyAlignment="1">
      <alignment horizontal="center" vertical="center"/>
    </xf>
    <xf numFmtId="49" fontId="22" fillId="2" borderId="84" xfId="0" quotePrefix="1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right"/>
    </xf>
    <xf numFmtId="0" fontId="25" fillId="3" borderId="2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7" fillId="2" borderId="2" xfId="0" quotePrefix="1" applyFont="1" applyFill="1" applyBorder="1" applyAlignment="1">
      <alignment horizontal="right" vertical="center" wrapText="1"/>
    </xf>
    <xf numFmtId="0" fontId="27" fillId="2" borderId="3" xfId="0" quotePrefix="1" applyFont="1" applyFill="1" applyBorder="1" applyAlignment="1">
      <alignment horizontal="right" vertical="center" wrapText="1"/>
    </xf>
    <xf numFmtId="0" fontId="27" fillId="2" borderId="4" xfId="0" quotePrefix="1" applyFont="1" applyFill="1" applyBorder="1" applyAlignment="1">
      <alignment horizontal="right" vertical="center" wrapText="1"/>
    </xf>
    <xf numFmtId="0" fontId="25" fillId="3" borderId="11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none"/>
      </font>
      <numFmt numFmtId="164" formatCode="_(&quot;R$ &quot;* #,##0.00_);_(&quot;R$ &quot;* \(#,##0.00\);_(&quot;R$ 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relative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relative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relative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relative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alignment horizontal="general" vertical="bottom" textRotation="0" wrapText="1" relative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relative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relative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00CC00"/>
      <color rgb="FFDE1500"/>
      <color rgb="FF007033"/>
      <color rgb="FFFF9933"/>
      <color rgb="FFFFFF66"/>
      <color rgb="FF008A3E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Lista de Riscos x Grau Probabilidade</a:t>
            </a:r>
          </a:p>
        </c:rich>
      </c:tx>
      <c:layout>
        <c:manualLayout>
          <c:xMode val="edge"/>
          <c:yMode val="edge"/>
          <c:x val="0.28331581710181025"/>
          <c:y val="4.7745366067857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132778992269547E-2"/>
          <c:y val="0.1680717087778289"/>
          <c:w val="0.64550180421374448"/>
          <c:h val="0.66137658035908564"/>
        </c:manualLayout>
      </c:layout>
      <c:barChart>
        <c:barDir val="col"/>
        <c:grouping val="clustered"/>
        <c:varyColors val="0"/>
        <c:ser>
          <c:idx val="0"/>
          <c:order val="0"/>
          <c:tx>
            <c:v>Riscos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Analise_Qualitativa!$J$8:$J$27</c:f>
              <c:numCache>
                <c:formatCode>0</c:formatCode>
                <c:ptCount val="20"/>
                <c:pt idx="0">
                  <c:v>5.58</c:v>
                </c:pt>
                <c:pt idx="1">
                  <c:v>5.18</c:v>
                </c:pt>
                <c:pt idx="2">
                  <c:v>5.7399999999999993</c:v>
                </c:pt>
                <c:pt idx="3">
                  <c:v>5</c:v>
                </c:pt>
                <c:pt idx="4">
                  <c:v>5.5</c:v>
                </c:pt>
                <c:pt idx="5">
                  <c:v>4.0999999999999996</c:v>
                </c:pt>
                <c:pt idx="6">
                  <c:v>6.58</c:v>
                </c:pt>
                <c:pt idx="7">
                  <c:v>7.0200000000000005</c:v>
                </c:pt>
                <c:pt idx="8">
                  <c:v>9.3600000000000012</c:v>
                </c:pt>
                <c:pt idx="9">
                  <c:v>4.76</c:v>
                </c:pt>
                <c:pt idx="10">
                  <c:v>2.4960000000000004</c:v>
                </c:pt>
                <c:pt idx="11">
                  <c:v>4.2</c:v>
                </c:pt>
                <c:pt idx="12">
                  <c:v>4.76</c:v>
                </c:pt>
                <c:pt idx="13">
                  <c:v>4.3200000000000012</c:v>
                </c:pt>
                <c:pt idx="14">
                  <c:v>5.46</c:v>
                </c:pt>
                <c:pt idx="15">
                  <c:v>5.46</c:v>
                </c:pt>
                <c:pt idx="16">
                  <c:v>3.9000000000000004</c:v>
                </c:pt>
                <c:pt idx="17">
                  <c:v>2.4960000000000004</c:v>
                </c:pt>
                <c:pt idx="18">
                  <c:v>3.9000000000000004</c:v>
                </c:pt>
                <c:pt idx="19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0-4559-A428-5734622F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5872"/>
        <c:axId val="158438528"/>
      </c:barChart>
      <c:catAx>
        <c:axId val="15841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Riscos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58438528"/>
        <c:crosses val="autoZero"/>
        <c:auto val="1"/>
        <c:lblAlgn val="ctr"/>
        <c:lblOffset val="100"/>
        <c:noMultiLvlLbl val="0"/>
      </c:catAx>
      <c:valAx>
        <c:axId val="15843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Grau do  Risco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415872"/>
        <c:crosses val="autoZero"/>
        <c:crossBetween val="between"/>
      </c:valAx>
      <c:spPr>
        <a:gradFill>
          <a:gsLst>
            <a:gs pos="0">
              <a:srgbClr val="C00000"/>
            </a:gs>
            <a:gs pos="25000">
              <a:srgbClr val="FF6633"/>
            </a:gs>
            <a:gs pos="50000">
              <a:srgbClr val="FFFF00"/>
            </a:gs>
            <a:gs pos="75000">
              <a:srgbClr val="00CC00"/>
            </a:gs>
            <a:gs pos="100000">
              <a:srgbClr val="007033"/>
            </a:gs>
          </a:gsLst>
          <a:lin ang="5400000" scaled="0"/>
        </a:gradFill>
      </c:spPr>
    </c:plotArea>
    <c:plotVisOnly val="1"/>
    <c:dispBlanksAs val="gap"/>
    <c:showDLblsOverMax val="0"/>
  </c:chart>
  <c:printSettings>
    <c:headerFooter alignWithMargins="0"/>
    <c:pageMargins b="1" l="0.75000000000000344" r="0.75000000000000344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843273893168"/>
          <c:y val="9.1205356787836728E-2"/>
          <c:w val="0.83579033284368676"/>
          <c:h val="0.69055484425075753"/>
        </c:manualLayout>
      </c:layout>
      <c:bubbleChart>
        <c:varyColors val="0"/>
        <c:ser>
          <c:idx val="0"/>
          <c:order val="0"/>
          <c:tx>
            <c:v>Probabilidade</c:v>
          </c:tx>
          <c:spPr>
            <a:solidFill>
              <a:srgbClr val="00B0F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Analise_Qualitativa!$E$8:$E$27</c:f>
              <c:numCache>
                <c:formatCode>0%</c:formatCode>
                <c:ptCount val="20"/>
                <c:pt idx="0">
                  <c:v>0.9</c:v>
                </c:pt>
                <c:pt idx="1">
                  <c:v>0.7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0.9</c:v>
                </c:pt>
                <c:pt idx="9">
                  <c:v>0.7</c:v>
                </c:pt>
                <c:pt idx="10">
                  <c:v>0.32</c:v>
                </c:pt>
                <c:pt idx="11">
                  <c:v>0.5</c:v>
                </c:pt>
                <c:pt idx="12">
                  <c:v>0.7</c:v>
                </c:pt>
                <c:pt idx="13">
                  <c:v>0.9</c:v>
                </c:pt>
                <c:pt idx="14">
                  <c:v>0.7</c:v>
                </c:pt>
                <c:pt idx="15">
                  <c:v>0.7</c:v>
                </c:pt>
                <c:pt idx="16">
                  <c:v>0.5</c:v>
                </c:pt>
                <c:pt idx="17">
                  <c:v>0.32</c:v>
                </c:pt>
                <c:pt idx="18">
                  <c:v>0.5</c:v>
                </c:pt>
                <c:pt idx="19">
                  <c:v>0.5</c:v>
                </c:pt>
              </c:numCache>
            </c:numRef>
          </c:xVal>
          <c:yVal>
            <c:numRef>
              <c:f>Analise_Qualitativa!$J$8:$J$27</c:f>
              <c:numCache>
                <c:formatCode>0</c:formatCode>
                <c:ptCount val="20"/>
                <c:pt idx="0">
                  <c:v>5.58</c:v>
                </c:pt>
                <c:pt idx="1">
                  <c:v>5.18</c:v>
                </c:pt>
                <c:pt idx="2">
                  <c:v>5.7399999999999993</c:v>
                </c:pt>
                <c:pt idx="3">
                  <c:v>5</c:v>
                </c:pt>
                <c:pt idx="4">
                  <c:v>5.5</c:v>
                </c:pt>
                <c:pt idx="5">
                  <c:v>4.0999999999999996</c:v>
                </c:pt>
                <c:pt idx="6">
                  <c:v>6.58</c:v>
                </c:pt>
                <c:pt idx="7">
                  <c:v>7.0200000000000005</c:v>
                </c:pt>
                <c:pt idx="8">
                  <c:v>9.3600000000000012</c:v>
                </c:pt>
                <c:pt idx="9">
                  <c:v>4.76</c:v>
                </c:pt>
                <c:pt idx="10">
                  <c:v>2.4960000000000004</c:v>
                </c:pt>
                <c:pt idx="11">
                  <c:v>4.2</c:v>
                </c:pt>
                <c:pt idx="12">
                  <c:v>4.76</c:v>
                </c:pt>
                <c:pt idx="13">
                  <c:v>4.3200000000000012</c:v>
                </c:pt>
                <c:pt idx="14">
                  <c:v>5.46</c:v>
                </c:pt>
                <c:pt idx="15">
                  <c:v>5.46</c:v>
                </c:pt>
                <c:pt idx="16">
                  <c:v>3.9000000000000004</c:v>
                </c:pt>
                <c:pt idx="17">
                  <c:v>2.4960000000000004</c:v>
                </c:pt>
                <c:pt idx="18">
                  <c:v>3.9000000000000004</c:v>
                </c:pt>
                <c:pt idx="19">
                  <c:v>5.7</c:v>
                </c:pt>
              </c:numCache>
            </c:numRef>
          </c:yVal>
          <c:bubbleSize>
            <c:numRef>
              <c:f>Analise_Qualitativa!$J$8:$J$27</c:f>
              <c:numCache>
                <c:formatCode>0</c:formatCode>
                <c:ptCount val="20"/>
                <c:pt idx="0">
                  <c:v>5.58</c:v>
                </c:pt>
                <c:pt idx="1">
                  <c:v>5.18</c:v>
                </c:pt>
                <c:pt idx="2">
                  <c:v>5.7399999999999993</c:v>
                </c:pt>
                <c:pt idx="3">
                  <c:v>5</c:v>
                </c:pt>
                <c:pt idx="4">
                  <c:v>5.5</c:v>
                </c:pt>
                <c:pt idx="5">
                  <c:v>4.0999999999999996</c:v>
                </c:pt>
                <c:pt idx="6">
                  <c:v>6.58</c:v>
                </c:pt>
                <c:pt idx="7">
                  <c:v>7.0200000000000005</c:v>
                </c:pt>
                <c:pt idx="8">
                  <c:v>9.3600000000000012</c:v>
                </c:pt>
                <c:pt idx="9">
                  <c:v>4.76</c:v>
                </c:pt>
                <c:pt idx="10">
                  <c:v>2.4960000000000004</c:v>
                </c:pt>
                <c:pt idx="11">
                  <c:v>4.2</c:v>
                </c:pt>
                <c:pt idx="12">
                  <c:v>4.76</c:v>
                </c:pt>
                <c:pt idx="13">
                  <c:v>4.3200000000000012</c:v>
                </c:pt>
                <c:pt idx="14">
                  <c:v>5.46</c:v>
                </c:pt>
                <c:pt idx="15">
                  <c:v>5.46</c:v>
                </c:pt>
                <c:pt idx="16">
                  <c:v>3.9000000000000004</c:v>
                </c:pt>
                <c:pt idx="17">
                  <c:v>2.4960000000000004</c:v>
                </c:pt>
                <c:pt idx="18">
                  <c:v>3.9000000000000004</c:v>
                </c:pt>
                <c:pt idx="19">
                  <c:v>5.7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E4A-4B41-993E-1C1860BA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9091328"/>
        <c:axId val="159113984"/>
      </c:bubbleChart>
      <c:valAx>
        <c:axId val="15909132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0">
              <a:solidFill>
                <a:srgbClr val="000000">
                  <a:alpha val="0"/>
                </a:srgb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pt-BR" sz="1600">
                    <a:latin typeface="+mn-lt"/>
                  </a:rPr>
                  <a:t>Probabilidade</a:t>
                </a:r>
              </a:p>
            </c:rich>
          </c:tx>
          <c:layout>
            <c:manualLayout>
              <c:xMode val="edge"/>
              <c:yMode val="edge"/>
              <c:x val="0.39163946552135531"/>
              <c:y val="0.8691911841147759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crossAx val="159113984"/>
        <c:crosses val="autoZero"/>
        <c:crossBetween val="midCat"/>
      </c:valAx>
      <c:valAx>
        <c:axId val="159113984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>
                  <a:alpha val="0"/>
                </a:srgb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pt-BR" sz="1600">
                    <a:latin typeface="+mn-lt"/>
                  </a:rPr>
                  <a:t>Grau de Risco</a:t>
                </a:r>
              </a:p>
            </c:rich>
          </c:tx>
          <c:layout>
            <c:manualLayout>
              <c:xMode val="edge"/>
              <c:yMode val="edge"/>
              <c:x val="2.6919589596754992E-3"/>
              <c:y val="0.224963203309239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in"/>
        <c:tickLblPos val="nextTo"/>
        <c:spPr>
          <a:ln w="3175"/>
        </c:spPr>
        <c:txPr>
          <a:bodyPr rot="0" vert="horz" anchor="ctr" anchorCtr="0"/>
          <a:lstStyle/>
          <a:p>
            <a:pPr>
              <a:defRPr/>
            </a:pPr>
            <a:endParaRPr lang="pt-BR"/>
          </a:p>
        </c:txPr>
        <c:crossAx val="159091328"/>
        <c:crosses val="autoZero"/>
        <c:crossBetween val="midCat"/>
        <c:minorUnit val="0.5"/>
      </c:valAx>
      <c:spPr>
        <a:gradFill>
          <a:gsLst>
            <a:gs pos="0">
              <a:srgbClr val="FF0000"/>
            </a:gs>
            <a:gs pos="10825">
              <a:srgbClr val="DE1500"/>
            </a:gs>
            <a:gs pos="25000">
              <a:srgbClr val="FF6633"/>
            </a:gs>
            <a:gs pos="50000">
              <a:srgbClr val="FFFF00"/>
            </a:gs>
            <a:gs pos="75000">
              <a:srgbClr val="01A78F"/>
            </a:gs>
            <a:gs pos="100000">
              <a:srgbClr val="007033"/>
            </a:gs>
          </a:gsLst>
          <a:lin ang="5400000" scaled="0"/>
        </a:gradFill>
        <a:ln w="25400">
          <a:noFill/>
        </a:ln>
      </c:spPr>
    </c:plotArea>
    <c:plotVisOnly val="1"/>
    <c:dispBlanksAs val="zero"/>
    <c:showDLblsOverMax val="0"/>
  </c:chart>
  <c:spPr>
    <a:noFill/>
    <a:ln w="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333" r="0.75000000000000333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5374076019849"/>
          <c:y val="0.19056073968512358"/>
          <c:w val="0.57492551816838344"/>
          <c:h val="0.62302795089002505"/>
        </c:manualLayout>
      </c:layout>
      <c:lineChart>
        <c:grouping val="stacked"/>
        <c:varyColors val="0"/>
        <c:ser>
          <c:idx val="1"/>
          <c:order val="0"/>
          <c:tx>
            <c:strRef>
              <c:f>Monitoramento_Controle!$B$6</c:f>
              <c:strCache>
                <c:ptCount val="1"/>
                <c:pt idx="0">
                  <c:v>11/10/13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Monitoramento_Controle!$F$7:$K$7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A80-8498-FD93201B291F}"/>
            </c:ext>
          </c:extLst>
        </c:ser>
        <c:ser>
          <c:idx val="0"/>
          <c:order val="1"/>
          <c:tx>
            <c:strRef>
              <c:f>Monitoramento_Controle!$B$32</c:f>
              <c:strCache>
                <c:ptCount val="1"/>
                <c:pt idx="0">
                  <c:v>18/10/13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/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Monitoramento_Controle!$F$33:$K$33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A80-8498-FD93201B291F}"/>
            </c:ext>
          </c:extLst>
        </c:ser>
        <c:ser>
          <c:idx val="2"/>
          <c:order val="2"/>
          <c:tx>
            <c:strRef>
              <c:f>Monitoramento_Controle!$B$58</c:f>
              <c:strCache>
                <c:ptCount val="1"/>
                <c:pt idx="0">
                  <c:v>25/10/13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Monitoramento_Controle!$F$59:$K$59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B-4A80-8498-FD93201B291F}"/>
            </c:ext>
          </c:extLst>
        </c:ser>
        <c:ser>
          <c:idx val="3"/>
          <c:order val="3"/>
          <c:tx>
            <c:strRef>
              <c:f>Monitoramento_Controle!$B$84</c:f>
              <c:strCache>
                <c:ptCount val="1"/>
                <c:pt idx="0">
                  <c:v>01/11/13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Monitoramento_Controle!$F$85:$K$85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B-4A80-8498-FD93201B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6096"/>
        <c:axId val="159237632"/>
      </c:lineChart>
      <c:catAx>
        <c:axId val="159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37632"/>
        <c:crossesAt val="0"/>
        <c:auto val="1"/>
        <c:lblAlgn val="ctr"/>
        <c:lblOffset val="100"/>
        <c:noMultiLvlLbl val="0"/>
      </c:catAx>
      <c:valAx>
        <c:axId val="1592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9236096"/>
        <c:crosses val="autoZero"/>
        <c:crossBetween val="between"/>
      </c:valAx>
      <c:spPr>
        <a:gradFill>
          <a:gsLst>
            <a:gs pos="88350">
              <a:schemeClr val="accent3">
                <a:lumMod val="40000"/>
                <a:lumOff val="60000"/>
              </a:schemeClr>
            </a:gs>
            <a:gs pos="0">
              <a:srgbClr val="92D050"/>
            </a:gs>
            <a:gs pos="50000">
              <a:schemeClr val="accent3">
                <a:lumMod val="60000"/>
                <a:lumOff val="4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75667793640054082"/>
          <c:y val="0.24286900584681861"/>
          <c:w val="0.10813889425207963"/>
          <c:h val="0.22278736186927459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344" r="0.75000000000000344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292099</xdr:colOff>
      <xdr:row>0</xdr:row>
      <xdr:rowOff>152400</xdr:rowOff>
    </xdr:from>
    <xdr:to>
      <xdr:col>15</xdr:col>
      <xdr:colOff>535781</xdr:colOff>
      <xdr:row>23</xdr:row>
      <xdr:rowOff>15688</xdr:rowOff>
    </xdr:to>
    <xdr:grpSp>
      <xdr:nvGrpSpPr>
        <xdr:cNvPr id="20" name="Grupo 19"/>
        <xdr:cNvGrpSpPr/>
      </xdr:nvGrpSpPr>
      <xdr:grpSpPr>
        <a:xfrm>
          <a:off x="292099" y="152400"/>
          <a:ext cx="9169968" cy="4244788"/>
          <a:chOff x="504825" y="333375"/>
          <a:chExt cx="6270252" cy="4054288"/>
        </a:xfrm>
      </xdr:grpSpPr>
      <xdr:sp macro="" textlink="">
        <xdr:nvSpPr>
          <xdr:cNvPr id="2" name="Rectangle 18"/>
          <xdr:cNvSpPr>
            <a:spLocks noChangeArrowheads="1"/>
          </xdr:cNvSpPr>
        </xdr:nvSpPr>
        <xdr:spPr bwMode="auto">
          <a:xfrm>
            <a:off x="504825" y="333375"/>
            <a:ext cx="6270252" cy="4054288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Text Box 19"/>
          <xdr:cNvSpPr txBox="1">
            <a:spLocks noChangeArrowheads="1"/>
          </xdr:cNvSpPr>
        </xdr:nvSpPr>
        <xdr:spPr bwMode="auto">
          <a:xfrm>
            <a:off x="1048697" y="529707"/>
            <a:ext cx="4724400" cy="41629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45720" tIns="36576" rIns="45720" bIns="0" anchor="t" upright="1"/>
          <a:lstStyle/>
          <a:p>
            <a:pPr algn="ctr" rtl="0">
              <a:defRPr sz="1000"/>
            </a:pPr>
            <a:r>
              <a:rPr lang="en-US" sz="1600" b="1" i="0" strike="noStrike">
                <a:solidFill>
                  <a:srgbClr val="000000"/>
                </a:solidFill>
                <a:latin typeface="Arial"/>
                <a:cs typeface="Arial"/>
              </a:rPr>
              <a:t>Distribuição</a:t>
            </a:r>
            <a:r>
              <a:rPr lang="en-US" sz="16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</a:t>
            </a:r>
            <a:r>
              <a:rPr lang="en-US" sz="1600" b="1" i="0" strike="noStrike">
                <a:solidFill>
                  <a:srgbClr val="000000"/>
                </a:solidFill>
                <a:latin typeface="Arial"/>
                <a:cs typeface="Arial"/>
              </a:rPr>
              <a:t>ráfica dos Riscos</a:t>
            </a:r>
          </a:p>
        </xdr:txBody>
      </xdr:sp>
    </xdr:grpSp>
    <xdr:clientData/>
  </xdr:twoCellAnchor>
  <xdr:twoCellAnchor>
    <xdr:from>
      <xdr:col>0</xdr:col>
      <xdr:colOff>357188</xdr:colOff>
      <xdr:row>25</xdr:row>
      <xdr:rowOff>21167</xdr:rowOff>
    </xdr:from>
    <xdr:to>
      <xdr:col>15</xdr:col>
      <xdr:colOff>523875</xdr:colOff>
      <xdr:row>46</xdr:row>
      <xdr:rowOff>10583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264583</xdr:colOff>
      <xdr:row>24</xdr:row>
      <xdr:rowOff>179913</xdr:rowOff>
    </xdr:from>
    <xdr:to>
      <xdr:col>15</xdr:col>
      <xdr:colOff>547687</xdr:colOff>
      <xdr:row>46</xdr:row>
      <xdr:rowOff>43201</xdr:rowOff>
    </xdr:to>
    <xdr:sp macro="" textlink="">
      <xdr:nvSpPr>
        <xdr:cNvPr id="25" name="Rectangle 18"/>
        <xdr:cNvSpPr>
          <a:spLocks noChangeArrowheads="1"/>
        </xdr:cNvSpPr>
      </xdr:nvSpPr>
      <xdr:spPr bwMode="auto">
        <a:xfrm>
          <a:off x="264583" y="4751913"/>
          <a:ext cx="9165167" cy="4054288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402168</xdr:colOff>
      <xdr:row>4</xdr:row>
      <xdr:rowOff>158749</xdr:rowOff>
    </xdr:from>
    <xdr:to>
      <xdr:col>12</xdr:col>
      <xdr:colOff>476250</xdr:colOff>
      <xdr:row>22</xdr:row>
      <xdr:rowOff>74083</xdr:rowOff>
    </xdr:to>
    <xdr:graphicFrame macro="">
      <xdr:nvGraphicFramePr>
        <xdr:cNvPr id="2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357189</xdr:colOff>
      <xdr:row>66</xdr:row>
      <xdr:rowOff>20108</xdr:rowOff>
    </xdr:from>
    <xdr:to>
      <xdr:col>16</xdr:col>
      <xdr:colOff>11907</xdr:colOff>
      <xdr:row>87</xdr:row>
      <xdr:rowOff>142876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432592</xdr:colOff>
      <xdr:row>67</xdr:row>
      <xdr:rowOff>91282</xdr:rowOff>
    </xdr:from>
    <xdr:to>
      <xdr:col>14</xdr:col>
      <xdr:colOff>62176</xdr:colOff>
      <xdr:row>68</xdr:row>
      <xdr:rowOff>186532</xdr:rowOff>
    </xdr:to>
    <xdr:sp macro="" textlink="">
      <xdr:nvSpPr>
        <xdr:cNvPr id="14" name="CaixaDeTexto 13"/>
        <xdr:cNvSpPr txBox="1"/>
      </xdr:nvSpPr>
      <xdr:spPr>
        <a:xfrm>
          <a:off x="1289842" y="13652501"/>
          <a:ext cx="7047178" cy="285750"/>
        </a:xfrm>
        <a:prstGeom prst="rect">
          <a:avLst/>
        </a:prstGeom>
        <a:solidFill>
          <a:schemeClr val="lt1"/>
        </a:solidFill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latin typeface="AriEL"/>
            </a:rPr>
            <a:t>Visão</a:t>
          </a:r>
          <a:r>
            <a:rPr lang="pt-BR" sz="1600" b="1" baseline="0">
              <a:latin typeface="AriEL"/>
            </a:rPr>
            <a:t> Gráfica - Monitoramento e Controle</a:t>
          </a:r>
          <a:endParaRPr lang="pt-BR" sz="1600" b="1">
            <a:latin typeface="AriEL"/>
          </a:endParaRPr>
        </a:p>
      </xdr:txBody>
    </xdr:sp>
    <xdr:clientData/>
  </xdr:twoCellAnchor>
  <xdr:twoCellAnchor>
    <xdr:from>
      <xdr:col>13</xdr:col>
      <xdr:colOff>226111</xdr:colOff>
      <xdr:row>33</xdr:row>
      <xdr:rowOff>33337</xdr:rowOff>
    </xdr:from>
    <xdr:to>
      <xdr:col>14</xdr:col>
      <xdr:colOff>317788</xdr:colOff>
      <xdr:row>34</xdr:row>
      <xdr:rowOff>108316</xdr:rowOff>
    </xdr:to>
    <xdr:sp macro="" textlink="">
      <xdr:nvSpPr>
        <xdr:cNvPr id="32" name="Text Box 12"/>
        <xdr:cNvSpPr txBox="1">
          <a:spLocks noChangeArrowheads="1"/>
        </xdr:cNvSpPr>
      </xdr:nvSpPr>
      <xdr:spPr bwMode="auto">
        <a:xfrm>
          <a:off x="7858017" y="6319837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  <xdr:twoCellAnchor>
    <xdr:from>
      <xdr:col>12</xdr:col>
      <xdr:colOff>643994</xdr:colOff>
      <xdr:row>33</xdr:row>
      <xdr:rowOff>33337</xdr:rowOff>
    </xdr:from>
    <xdr:to>
      <xdr:col>13</xdr:col>
      <xdr:colOff>214707</xdr:colOff>
      <xdr:row>34</xdr:row>
      <xdr:rowOff>108316</xdr:rowOff>
    </xdr:to>
    <xdr:sp macro="" textlink="">
      <xdr:nvSpPr>
        <xdr:cNvPr id="33" name="Text Box 13"/>
        <xdr:cNvSpPr txBox="1">
          <a:spLocks noChangeArrowheads="1"/>
        </xdr:cNvSpPr>
      </xdr:nvSpPr>
      <xdr:spPr bwMode="auto">
        <a:xfrm>
          <a:off x="7561525" y="6319837"/>
          <a:ext cx="285088" cy="265479"/>
        </a:xfrm>
        <a:prstGeom prst="rect">
          <a:avLst/>
        </a:prstGeom>
        <a:solidFill>
          <a:srgbClr val="FF0000">
            <a:alpha val="72940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226111</xdr:colOff>
      <xdr:row>34</xdr:row>
      <xdr:rowOff>137814</xdr:rowOff>
    </xdr:from>
    <xdr:to>
      <xdr:col>14</xdr:col>
      <xdr:colOff>317788</xdr:colOff>
      <xdr:row>36</xdr:row>
      <xdr:rowOff>22293</xdr:rowOff>
    </xdr:to>
    <xdr:sp macro="" textlink="">
      <xdr:nvSpPr>
        <xdr:cNvPr id="34" name="Text Box 14"/>
        <xdr:cNvSpPr txBox="1">
          <a:spLocks noChangeArrowheads="1"/>
        </xdr:cNvSpPr>
      </xdr:nvSpPr>
      <xdr:spPr bwMode="auto">
        <a:xfrm>
          <a:off x="7858017" y="6614814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Médio</a:t>
          </a:r>
        </a:p>
      </xdr:txBody>
    </xdr:sp>
    <xdr:clientData/>
  </xdr:twoCellAnchor>
  <xdr:twoCellAnchor>
    <xdr:from>
      <xdr:col>12</xdr:col>
      <xdr:colOff>643994</xdr:colOff>
      <xdr:row>34</xdr:row>
      <xdr:rowOff>137814</xdr:rowOff>
    </xdr:from>
    <xdr:to>
      <xdr:col>13</xdr:col>
      <xdr:colOff>214707</xdr:colOff>
      <xdr:row>36</xdr:row>
      <xdr:rowOff>22293</xdr:rowOff>
    </xdr:to>
    <xdr:sp macro="" textlink="">
      <xdr:nvSpPr>
        <xdr:cNvPr id="35" name="Text Box 15"/>
        <xdr:cNvSpPr txBox="1">
          <a:spLocks noChangeArrowheads="1"/>
        </xdr:cNvSpPr>
      </xdr:nvSpPr>
      <xdr:spPr bwMode="auto">
        <a:xfrm>
          <a:off x="7561525" y="6614814"/>
          <a:ext cx="285088" cy="265479"/>
        </a:xfrm>
        <a:prstGeom prst="rect">
          <a:avLst/>
        </a:pr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226111</xdr:colOff>
      <xdr:row>36</xdr:row>
      <xdr:rowOff>61624</xdr:rowOff>
    </xdr:from>
    <xdr:to>
      <xdr:col>14</xdr:col>
      <xdr:colOff>317788</xdr:colOff>
      <xdr:row>37</xdr:row>
      <xdr:rowOff>136603</xdr:rowOff>
    </xdr:to>
    <xdr:sp macro="" textlink="">
      <xdr:nvSpPr>
        <xdr:cNvPr id="36" name="Text Box 16"/>
        <xdr:cNvSpPr txBox="1">
          <a:spLocks noChangeArrowheads="1"/>
        </xdr:cNvSpPr>
      </xdr:nvSpPr>
      <xdr:spPr bwMode="auto">
        <a:xfrm>
          <a:off x="7858017" y="6919624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Baixo</a:t>
          </a:r>
        </a:p>
      </xdr:txBody>
    </xdr:sp>
    <xdr:clientData/>
  </xdr:twoCellAnchor>
  <xdr:twoCellAnchor>
    <xdr:from>
      <xdr:col>12</xdr:col>
      <xdr:colOff>643994</xdr:colOff>
      <xdr:row>36</xdr:row>
      <xdr:rowOff>61624</xdr:rowOff>
    </xdr:from>
    <xdr:to>
      <xdr:col>13</xdr:col>
      <xdr:colOff>214707</xdr:colOff>
      <xdr:row>37</xdr:row>
      <xdr:rowOff>136603</xdr:rowOff>
    </xdr:to>
    <xdr:sp macro="" textlink="">
      <xdr:nvSpPr>
        <xdr:cNvPr id="37" name="Text Box 17"/>
        <xdr:cNvSpPr txBox="1">
          <a:spLocks noChangeArrowheads="1"/>
        </xdr:cNvSpPr>
      </xdr:nvSpPr>
      <xdr:spPr bwMode="auto">
        <a:xfrm>
          <a:off x="7561525" y="6919624"/>
          <a:ext cx="285088" cy="265479"/>
        </a:xfrm>
        <a:prstGeom prst="rect">
          <a:avLst/>
        </a:prstGeom>
        <a:solidFill>
          <a:srgbClr val="00FF00">
            <a:alpha val="54901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559594</xdr:colOff>
      <xdr:row>49</xdr:row>
      <xdr:rowOff>95250</xdr:rowOff>
    </xdr:from>
    <xdr:to>
      <xdr:col>14</xdr:col>
      <xdr:colOff>189178</xdr:colOff>
      <xdr:row>51</xdr:row>
      <xdr:rowOff>0</xdr:rowOff>
    </xdr:to>
    <xdr:sp macro="" textlink="">
      <xdr:nvSpPr>
        <xdr:cNvPr id="39" name="CaixaDeTexto 38"/>
        <xdr:cNvSpPr txBox="1"/>
      </xdr:nvSpPr>
      <xdr:spPr>
        <a:xfrm>
          <a:off x="1416844" y="9429750"/>
          <a:ext cx="7047178" cy="285750"/>
        </a:xfrm>
        <a:prstGeom prst="rect">
          <a:avLst/>
        </a:prstGeom>
        <a:solidFill>
          <a:schemeClr val="lt1"/>
        </a:solidFill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latin typeface="AriEL"/>
            </a:rPr>
            <a:t>Comparativo</a:t>
          </a:r>
          <a:r>
            <a:rPr lang="pt-BR" sz="1600" b="1" baseline="0">
              <a:latin typeface="AriEL"/>
            </a:rPr>
            <a:t> Plano de Ação - Sugerido x Realizado</a:t>
          </a:r>
          <a:endParaRPr lang="pt-BR" sz="1600" b="1">
            <a:latin typeface="AriEL"/>
          </a:endParaRPr>
        </a:p>
      </xdr:txBody>
    </xdr:sp>
    <xdr:clientData/>
  </xdr:twoCellAnchor>
  <xdr:twoCellAnchor>
    <xdr:from>
      <xdr:col>13</xdr:col>
      <xdr:colOff>235636</xdr:colOff>
      <xdr:row>10</xdr:row>
      <xdr:rowOff>114299</xdr:rowOff>
    </xdr:from>
    <xdr:to>
      <xdr:col>14</xdr:col>
      <xdr:colOff>327313</xdr:colOff>
      <xdr:row>11</xdr:row>
      <xdr:rowOff>189278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7867542" y="2019299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  <xdr:twoCellAnchor>
    <xdr:from>
      <xdr:col>12</xdr:col>
      <xdr:colOff>653519</xdr:colOff>
      <xdr:row>10</xdr:row>
      <xdr:rowOff>114299</xdr:rowOff>
    </xdr:from>
    <xdr:to>
      <xdr:col>13</xdr:col>
      <xdr:colOff>224232</xdr:colOff>
      <xdr:row>11</xdr:row>
      <xdr:rowOff>189278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7571050" y="2019299"/>
          <a:ext cx="285088" cy="265479"/>
        </a:xfrm>
        <a:prstGeom prst="rect">
          <a:avLst/>
        </a:prstGeom>
        <a:solidFill>
          <a:srgbClr val="FF0000">
            <a:alpha val="72940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235636</xdr:colOff>
      <xdr:row>12</xdr:row>
      <xdr:rowOff>28276</xdr:rowOff>
    </xdr:from>
    <xdr:to>
      <xdr:col>14</xdr:col>
      <xdr:colOff>327313</xdr:colOff>
      <xdr:row>13</xdr:row>
      <xdr:rowOff>103255</xdr:rowOff>
    </xdr:to>
    <xdr:sp macro="" textlink="">
      <xdr:nvSpPr>
        <xdr:cNvPr id="28" name="Text Box 14"/>
        <xdr:cNvSpPr txBox="1">
          <a:spLocks noChangeArrowheads="1"/>
        </xdr:cNvSpPr>
      </xdr:nvSpPr>
      <xdr:spPr bwMode="auto">
        <a:xfrm>
          <a:off x="7867542" y="2314276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Médio</a:t>
          </a:r>
        </a:p>
      </xdr:txBody>
    </xdr:sp>
    <xdr:clientData/>
  </xdr:twoCellAnchor>
  <xdr:twoCellAnchor>
    <xdr:from>
      <xdr:col>12</xdr:col>
      <xdr:colOff>653519</xdr:colOff>
      <xdr:row>12</xdr:row>
      <xdr:rowOff>28276</xdr:rowOff>
    </xdr:from>
    <xdr:to>
      <xdr:col>13</xdr:col>
      <xdr:colOff>224232</xdr:colOff>
      <xdr:row>13</xdr:row>
      <xdr:rowOff>103255</xdr:rowOff>
    </xdr:to>
    <xdr:sp macro="" textlink="">
      <xdr:nvSpPr>
        <xdr:cNvPr id="29" name="Text Box 15"/>
        <xdr:cNvSpPr txBox="1">
          <a:spLocks noChangeArrowheads="1"/>
        </xdr:cNvSpPr>
      </xdr:nvSpPr>
      <xdr:spPr bwMode="auto">
        <a:xfrm>
          <a:off x="7571050" y="2314276"/>
          <a:ext cx="285088" cy="265479"/>
        </a:xfrm>
        <a:prstGeom prst="rect">
          <a:avLst/>
        </a:pr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235636</xdr:colOff>
      <xdr:row>13</xdr:row>
      <xdr:rowOff>142586</xdr:rowOff>
    </xdr:from>
    <xdr:to>
      <xdr:col>14</xdr:col>
      <xdr:colOff>327313</xdr:colOff>
      <xdr:row>15</xdr:row>
      <xdr:rowOff>27065</xdr:rowOff>
    </xdr:to>
    <xdr:sp macro="" textlink="">
      <xdr:nvSpPr>
        <xdr:cNvPr id="30" name="Text Box 16"/>
        <xdr:cNvSpPr txBox="1">
          <a:spLocks noChangeArrowheads="1"/>
        </xdr:cNvSpPr>
      </xdr:nvSpPr>
      <xdr:spPr bwMode="auto">
        <a:xfrm>
          <a:off x="7867542" y="2619086"/>
          <a:ext cx="734615" cy="265479"/>
        </a:xfrm>
        <a:prstGeom prst="rect">
          <a:avLst/>
        </a:prstGeom>
        <a:solidFill>
          <a:srgbClr val="FFFFFF">
            <a:alpha val="55000"/>
          </a:srgbClr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Baixo</a:t>
          </a:r>
        </a:p>
      </xdr:txBody>
    </xdr:sp>
    <xdr:clientData/>
  </xdr:twoCellAnchor>
  <xdr:twoCellAnchor>
    <xdr:from>
      <xdr:col>12</xdr:col>
      <xdr:colOff>653519</xdr:colOff>
      <xdr:row>13</xdr:row>
      <xdr:rowOff>142586</xdr:rowOff>
    </xdr:from>
    <xdr:to>
      <xdr:col>13</xdr:col>
      <xdr:colOff>224232</xdr:colOff>
      <xdr:row>15</xdr:row>
      <xdr:rowOff>27065</xdr:rowOff>
    </xdr:to>
    <xdr:sp macro="" textlink="">
      <xdr:nvSpPr>
        <xdr:cNvPr id="31" name="Text Box 17"/>
        <xdr:cNvSpPr txBox="1">
          <a:spLocks noChangeArrowheads="1"/>
        </xdr:cNvSpPr>
      </xdr:nvSpPr>
      <xdr:spPr bwMode="auto">
        <a:xfrm>
          <a:off x="7571050" y="2619086"/>
          <a:ext cx="285088" cy="265479"/>
        </a:xfrm>
        <a:prstGeom prst="rect">
          <a:avLst/>
        </a:prstGeom>
        <a:solidFill>
          <a:srgbClr val="00FF00">
            <a:alpha val="54901"/>
          </a:srgbClr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2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3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4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5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6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7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8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9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10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11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2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3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4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5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6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7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18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19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0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1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2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3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4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5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2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3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4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5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6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7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8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9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2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3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4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5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6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7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8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9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10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11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2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3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4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5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6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17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18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0" cy="0"/>
          <a:chOff x="0" y="0"/>
          <a:chExt cx="0" cy="0"/>
        </a:xfrm>
      </cdr:grpSpPr>
      <cdr:sp macro="" textlink="">
        <cdr:nvSpPr>
          <cdr:cNvPr id="19" name="Rectangle 2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0" name="Rectangl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1" name="Rectangle 4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2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3" name="Rectangle 6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FF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4" name="Rectangle 7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  <cdr:sp macro="" textlink="">
        <cdr:nvSpPr>
          <cdr:cNvPr id="25" name="Rectangle 8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>
              <a:alpha val="54901"/>
            </a:srgbClr>
          </a:solidFill>
          <a:ln xmlns:a="http://schemas.openxmlformats.org/drawingml/2006/main" w="9525">
            <a:noFill/>
            <a:miter lim="800000"/>
            <a:headEnd/>
            <a:tailEnd/>
          </a:ln>
        </cdr:spPr>
      </cdr:sp>
    </cdr:grpSp>
  </cdr:relSizeAnchor>
  <cdr:relSizeAnchor xmlns:cdr="http://schemas.openxmlformats.org/drawingml/2006/chartDrawing">
    <cdr:from>
      <cdr:x>0.11838</cdr:x>
      <cdr:y>0.88869</cdr:y>
    </cdr:from>
    <cdr:to>
      <cdr:x>0.70195</cdr:x>
      <cdr:y>0.9538</cdr:y>
    </cdr:to>
    <cdr:sp macro="" textlink="">
      <cdr:nvSpPr>
        <cdr:cNvPr id="26" name="CaixaDeTexto 25"/>
        <cdr:cNvSpPr txBox="1"/>
      </cdr:nvSpPr>
      <cdr:spPr>
        <a:xfrm xmlns:a="http://schemas.openxmlformats.org/drawingml/2006/main">
          <a:off x="1086735" y="3664293"/>
          <a:ext cx="5356967" cy="268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600" b="1">
              <a:latin typeface="+mn-lt"/>
            </a:rPr>
            <a:t>Status</a:t>
          </a:r>
        </a:p>
      </cdr:txBody>
    </cdr:sp>
  </cdr:relSizeAnchor>
  <cdr:relSizeAnchor xmlns:cdr="http://schemas.openxmlformats.org/drawingml/2006/chartDrawing">
    <cdr:from>
      <cdr:x>0.78858</cdr:x>
      <cdr:y>0.57438</cdr:y>
    </cdr:from>
    <cdr:to>
      <cdr:x>0.95274</cdr:x>
      <cdr:y>0.63384</cdr:y>
    </cdr:to>
    <cdr:sp macro="" textlink="">
      <cdr:nvSpPr>
        <cdr:cNvPr id="27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0360" y="2368339"/>
          <a:ext cx="1438470" cy="2451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 wrap="square" lIns="36576" tIns="27432" rIns="0" bIns="27432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Ativo</a:t>
          </a:r>
        </a:p>
      </cdr:txBody>
    </cdr:sp>
  </cdr:relSizeAnchor>
  <cdr:relSizeAnchor xmlns:cdr="http://schemas.openxmlformats.org/drawingml/2006/chartDrawing">
    <cdr:from>
      <cdr:x>0.75549</cdr:x>
      <cdr:y>0.57438</cdr:y>
    </cdr:from>
    <cdr:to>
      <cdr:x>0.78731</cdr:x>
      <cdr:y>0.63375</cdr:y>
    </cdr:to>
    <cdr:sp macro="" textlink="">
      <cdr:nvSpPr>
        <cdr:cNvPr id="28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0392" y="2368338"/>
          <a:ext cx="278839" cy="2448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0.78811</cdr:x>
      <cdr:y>0.63446</cdr:y>
    </cdr:from>
    <cdr:to>
      <cdr:x>0.95226</cdr:x>
      <cdr:y>0.69391</cdr:y>
    </cdr:to>
    <cdr:sp macro="" textlink="">
      <cdr:nvSpPr>
        <cdr:cNvPr id="29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6222" y="2616065"/>
          <a:ext cx="1438471" cy="245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 wrap="square" lIns="36576" tIns="27432" rIns="0" bIns="27432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Monitorando</a:t>
          </a:r>
        </a:p>
      </cdr:txBody>
    </cdr:sp>
  </cdr:relSizeAnchor>
  <cdr:relSizeAnchor xmlns:cdr="http://schemas.openxmlformats.org/drawingml/2006/chartDrawing">
    <cdr:from>
      <cdr:x>0.78809</cdr:x>
      <cdr:y>0.69424</cdr:y>
    </cdr:from>
    <cdr:to>
      <cdr:x>0.95224</cdr:x>
      <cdr:y>0.75362</cdr:y>
    </cdr:to>
    <cdr:sp macro="" textlink="">
      <cdr:nvSpPr>
        <cdr:cNvPr id="33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6033" y="2862558"/>
          <a:ext cx="1438471" cy="2448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5000"/>
          </a:srgbClr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36576" tIns="27432" rIns="0" bIns="27432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Finalizado</a:t>
          </a:r>
        </a:p>
      </cdr:txBody>
    </cdr:sp>
  </cdr:relSizeAnchor>
  <cdr:relSizeAnchor xmlns:cdr="http://schemas.openxmlformats.org/drawingml/2006/chartDrawing">
    <cdr:from>
      <cdr:x>0.75514</cdr:x>
      <cdr:y>0.63306</cdr:y>
    </cdr:from>
    <cdr:to>
      <cdr:x>0.78695</cdr:x>
      <cdr:y>0.69243</cdr:y>
    </cdr:to>
    <cdr:sp macro="" textlink="">
      <cdr:nvSpPr>
        <cdr:cNvPr id="3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17325" y="2610291"/>
          <a:ext cx="278751" cy="2448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2</a:t>
          </a:r>
        </a:p>
      </cdr:txBody>
    </cdr:sp>
  </cdr:relSizeAnchor>
  <cdr:relSizeAnchor xmlns:cdr="http://schemas.openxmlformats.org/drawingml/2006/chartDrawing">
    <cdr:from>
      <cdr:x>0.75514</cdr:x>
      <cdr:y>0.69273</cdr:y>
    </cdr:from>
    <cdr:to>
      <cdr:x>0.78695</cdr:x>
      <cdr:y>0.7521</cdr:y>
    </cdr:to>
    <cdr:sp macro="" textlink="">
      <cdr:nvSpPr>
        <cdr:cNvPr id="36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17325" y="2856326"/>
          <a:ext cx="278751" cy="2448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3</a:t>
          </a:r>
        </a:p>
      </cdr:txBody>
    </cdr:sp>
  </cdr:relSizeAnchor>
  <cdr:relSizeAnchor xmlns:cdr="http://schemas.openxmlformats.org/drawingml/2006/chartDrawing">
    <cdr:from>
      <cdr:x>0.74755</cdr:x>
      <cdr:y>0.499</cdr:y>
    </cdr:from>
    <cdr:to>
      <cdr:x>0.95017</cdr:x>
      <cdr:y>0.55675</cdr:y>
    </cdr:to>
    <cdr:sp macro="" textlink="">
      <cdr:nvSpPr>
        <cdr:cNvPr id="34" name="CaixaDeTexto 33"/>
        <cdr:cNvSpPr txBox="1"/>
      </cdr:nvSpPr>
      <cdr:spPr>
        <a:xfrm xmlns:a="http://schemas.openxmlformats.org/drawingml/2006/main">
          <a:off x="6550780" y="2057517"/>
          <a:ext cx="1775559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1"/>
            <a:t>STATUS:</a:t>
          </a:r>
        </a:p>
      </cdr:txBody>
    </cdr:sp>
  </cdr:relSizeAnchor>
  <cdr:relSizeAnchor xmlns:cdr="http://schemas.openxmlformats.org/drawingml/2006/chartDrawing">
    <cdr:from>
      <cdr:x>0.78801</cdr:x>
      <cdr:y>0.75589</cdr:y>
    </cdr:from>
    <cdr:to>
      <cdr:x>0.95216</cdr:x>
      <cdr:y>0.81526</cdr:y>
    </cdr:to>
    <cdr:sp macro="" textlink="">
      <cdr:nvSpPr>
        <cdr:cNvPr id="37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1688" y="3116734"/>
          <a:ext cx="1504349" cy="2447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5000"/>
          </a:srgbClr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36576" tIns="27432" rIns="0" bIns="27432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Eliminado</a:t>
          </a:r>
        </a:p>
      </cdr:txBody>
    </cdr:sp>
  </cdr:relSizeAnchor>
  <cdr:relSizeAnchor xmlns:cdr="http://schemas.openxmlformats.org/drawingml/2006/chartDrawing">
    <cdr:from>
      <cdr:x>0.75502</cdr:x>
      <cdr:y>0.75303</cdr:y>
    </cdr:from>
    <cdr:to>
      <cdr:x>0.78683</cdr:x>
      <cdr:y>0.8124</cdr:y>
    </cdr:to>
    <cdr:sp macro="" textlink="">
      <cdr:nvSpPr>
        <cdr:cNvPr id="38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16243" y="3104943"/>
          <a:ext cx="278751" cy="2448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0.74978</cdr:x>
      <cdr:y>0.17815</cdr:y>
    </cdr:from>
    <cdr:to>
      <cdr:x>0.9524</cdr:x>
      <cdr:y>0.2359</cdr:y>
    </cdr:to>
    <cdr:sp macro="" textlink="">
      <cdr:nvSpPr>
        <cdr:cNvPr id="39" name="CaixaDeTexto 1"/>
        <cdr:cNvSpPr txBox="1"/>
      </cdr:nvSpPr>
      <cdr:spPr>
        <a:xfrm xmlns:a="http://schemas.openxmlformats.org/drawingml/2006/main">
          <a:off x="6570301" y="734558"/>
          <a:ext cx="1775558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PLACAR</a:t>
          </a:r>
          <a:r>
            <a:rPr lang="pt-BR" sz="1100" b="1" baseline="0"/>
            <a:t> EM:</a:t>
          </a:r>
          <a:endParaRPr lang="pt-BR" sz="1100" b="1"/>
        </a:p>
      </cdr:txBody>
    </cdr:sp>
  </cdr:relSizeAnchor>
  <cdr:relSizeAnchor xmlns:cdr="http://schemas.openxmlformats.org/drawingml/2006/chartDrawing">
    <cdr:from>
      <cdr:x>0.75522</cdr:x>
      <cdr:y>0.81378</cdr:y>
    </cdr:from>
    <cdr:to>
      <cdr:x>0.78703</cdr:x>
      <cdr:y>0.87315</cdr:y>
    </cdr:to>
    <cdr:sp macro="" textlink="">
      <cdr:nvSpPr>
        <cdr:cNvPr id="40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8992" y="3363689"/>
          <a:ext cx="291007" cy="2454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innerShdw blurRad="63500" dist="50800" dir="13500000">
            <a:prstClr val="black">
              <a:alpha val="50000"/>
            </a:prstClr>
          </a:innerShdw>
        </a:effec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5</a:t>
          </a:r>
        </a:p>
      </cdr:txBody>
    </cdr:sp>
  </cdr:relSizeAnchor>
  <cdr:relSizeAnchor xmlns:cdr="http://schemas.openxmlformats.org/drawingml/2006/chartDrawing">
    <cdr:from>
      <cdr:x>0.78783</cdr:x>
      <cdr:y>0.81381</cdr:y>
    </cdr:from>
    <cdr:to>
      <cdr:x>0.95198</cdr:x>
      <cdr:y>0.87318</cdr:y>
    </cdr:to>
    <cdr:sp macro="" textlink="">
      <cdr:nvSpPr>
        <cdr:cNvPr id="41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0015" y="3355549"/>
          <a:ext cx="1504348" cy="2447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5000"/>
          </a:srgbClr>
        </a:solidFill>
        <a:ln xmlns:a="http://schemas.openxmlformats.org/drawingml/2006/main" w="9525" algn="ctr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36576" tIns="27432" rIns="0" bIns="27432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Efetivado</a:t>
          </a:r>
        </a:p>
      </cdr:txBody>
    </cdr:sp>
  </cdr:relSizeAnchor>
</c:userShapes>
</file>

<file path=xl/tables/table1.xml><?xml version="1.0" encoding="utf-8"?>
<table xmlns="http://schemas.openxmlformats.org/spreadsheetml/2006/main" id="6" name="Tabela6" displayName="Tabela6" ref="B3:E9" totalsRowShown="0" headerRowDxfId="70" tableBorderDxfId="69">
  <tableColumns count="4">
    <tableColumn id="1" name="Escala" dataDxfId="68"/>
    <tableColumn id="2" name="Valor" dataDxfId="67"/>
    <tableColumn id="3" name="Descrição do Nível" dataDxfId="66"/>
    <tableColumn id="4" name="Probabilidade Percentual" dataDxfId="6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B12:D18" totalsRowShown="0" tableBorderDxfId="64">
  <tableColumns count="3">
    <tableColumn id="1" name="Escala" dataDxfId="63"/>
    <tableColumn id="2" name="Valor" dataDxfId="62"/>
    <tableColumn id="3" name="Impacto sobre a estimativa de &quot;Custo&quot; e/ou &quot;Prazo&quot;_x000a_inicialmente calculada para o projeto." dataDxfId="6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7:J27" totalsRowShown="0" headerRowDxfId="58" dataDxfId="56" headerRowBorderDxfId="57" tableBorderDxfId="55">
  <sortState ref="B4:O28">
    <sortCondition ref="B3:B28"/>
  </sortState>
  <tableColumns count="9">
    <tableColumn id="1" name="Item" dataDxfId="54">
      <calculatedColumnFormula>Identificar!B7</calculatedColumnFormula>
    </tableColumn>
    <tableColumn id="2" name="Descrição" dataDxfId="53">
      <calculatedColumnFormula>Identificar!#REF!</calculatedColumnFormula>
    </tableColumn>
    <tableColumn id="3" name="P" dataDxfId="52"/>
    <tableColumn id="4" name="Prob" dataDxfId="51">
      <calculatedColumnFormula>IFERROR(VLOOKUP(Tabela2[[#This Row],[P]], Indicadores!$B$4:$C$9, 2, FALSE ),0)</calculatedColumnFormula>
    </tableColumn>
    <tableColumn id="9" name="Custo" dataDxfId="50"/>
    <tableColumn id="10" name="IC" dataDxfId="49">
      <calculatedColumnFormula>IFERROR(VLOOKUP(Tabela2[[#This Row],[Custo]], Indicadores!$B$13:$C$18, 2, FALSE ) * (1+IF($B$6="Custo",Indicadores!$D$21,0)),0)</calculatedColumnFormula>
    </tableColumn>
    <tableColumn id="5" name="Prazo" dataDxfId="48"/>
    <tableColumn id="11" name="IP" dataDxfId="47">
      <calculatedColumnFormula>IFERROR(VLOOKUP(Tabela2[[#This Row],[Prazo]], Indicadores!$B$13:$C$18, 2, FALSE ) * (1+IF($B$6="Prazo",Indicadores!$D$21,0)),0)</calculatedColumnFormula>
    </tableColumn>
    <tableColumn id="6" name="G" dataDxfId="46">
      <calculatedColumnFormula>(Tabela2[[#This Row],[IC]]+Tabela2[[#This Row],[IP]])*(Tabela2[[#This Row],[Prob]])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7:I27" totalsRowShown="0" headerRowDxfId="41" dataDxfId="39" headerRowBorderDxfId="40" tableBorderDxfId="38">
  <sortState ref="B8:O32">
    <sortCondition ref="B3:B28"/>
  </sortState>
  <tableColumns count="8">
    <tableColumn id="1" name="Item" dataDxfId="37">
      <calculatedColumnFormula>Identificar!B7</calculatedColumnFormula>
    </tableColumn>
    <tableColumn id="2" name="Descrição" dataDxfId="36">
      <calculatedColumnFormula>Identificar!#REF!</calculatedColumnFormula>
    </tableColumn>
    <tableColumn id="8" name="G" dataDxfId="35">
      <calculatedColumnFormula>Tabela2[[#This Row],[G]]</calculatedColumnFormula>
    </tableColumn>
    <tableColumn id="3" name="Custo" dataDxfId="34">
      <calculatedColumnFormula>Tabela2[[#This Row],[Custo]]</calculatedColumnFormula>
    </tableColumn>
    <tableColumn id="4" name="%" dataDxfId="33">
      <calculatedColumnFormula>IFERROR(VLOOKUP(Tabela24[[#This Row],[Custo]], Indicadores!$B$46:$C$51, 2, FALSE ),0)</calculatedColumnFormula>
    </tableColumn>
    <tableColumn id="7" name="Vlr Mais Provável" dataDxfId="32" dataCellStyle="Moeda">
      <calculatedColumnFormula>(Tabela24[[#This Row],[%]]/100)*M8</calculatedColumnFormula>
    </tableColumn>
    <tableColumn id="5" name="Vlr Contingência" dataDxfId="0" dataCellStyle="Moeda">
      <calculatedColumnFormula>Tabela24[[#This Row],[Vlr Mais Provável]]*100%</calculatedColumnFormula>
    </tableColumn>
    <tableColumn id="6" name="Ação" dataDxfId="3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" name="Tabela22" displayName="Tabela22" ref="B7:X27" totalsRowShown="0" headerRowDxfId="27" dataDxfId="25" headerRowBorderDxfId="26" tableBorderDxfId="24">
  <autoFilter ref="B7:X27"/>
  <sortState ref="B4:O28">
    <sortCondition ref="B3:B28"/>
  </sortState>
  <tableColumns count="23">
    <tableColumn id="1" name="Item" dataDxfId="23">
      <calculatedColumnFormula>Identificar!B7</calculatedColumnFormula>
    </tableColumn>
    <tableColumn id="2" name="Descrição" dataDxfId="22">
      <calculatedColumnFormula>Identificar!#REF!</calculatedColumnFormula>
    </tableColumn>
    <tableColumn id="6" name="G" dataDxfId="21">
      <calculatedColumnFormula>Tabela2[[#This Row],[G]]</calculatedColumnFormula>
    </tableColumn>
    <tableColumn id="11" name="Vlr Contingência" dataDxfId="20" dataCellStyle="Moeda">
      <calculatedColumnFormula>Tabela24[[#This Row],[Vlr Contingência]]</calculatedColumnFormula>
    </tableColumn>
    <tableColumn id="12" name="Ação" dataDxfId="19" dataCellStyle="Moeda">
      <calculatedColumnFormula>Tabela24[[#This Row],[Ação]]</calculatedColumnFormula>
    </tableColumn>
    <tableColumn id="7" name="Ação Sugerida" dataDxfId="18">
      <calculatedColumnFormula>IF(D8&gt;0,"POSITIVO","")&amp;IF(D8&lt;0,"NEGATIVO","")&amp;IF(D8=0,"NULO","")</calculatedColumnFormula>
    </tableColumn>
    <tableColumn id="4" name="AC" dataDxfId="17">
      <calculatedColumnFormula>IF(Tabela22[[#This Row],[Ação Sugerida]]="Mitigar",1,IF(Tabela22[[#This Row],[Ação Sugerida]]="Aceitar",3,2))</calculatedColumnFormula>
    </tableColumn>
    <tableColumn id="17" name="Ação a Realizar" dataDxfId="16"/>
    <tableColumn id="3" name="AR" dataDxfId="15">
      <calculatedColumnFormula>IF(Tabela22[[#This Row],[Ação a Realizar]]="Mitigar",1,IF(Tabela22[[#This Row],[Ação a Realizar]]="Aceitar",3,2))</calculatedColumnFormula>
    </tableColumn>
    <tableColumn id="8" name="Descrição da Ação" dataDxfId="14"/>
    <tableColumn id="20" name="Áreas Afetadas" dataDxfId="13"/>
    <tableColumn id="21" name="Responsabilidade" dataDxfId="12"/>
    <tableColumn id="15" name="Data Limite" dataDxfId="11"/>
    <tableColumn id="14" name="Data Resolução" dataDxfId="10"/>
    <tableColumn id="22" name="Risco Residual" dataDxfId="9"/>
    <tableColumn id="23" name="Risco Secundário" dataDxfId="8"/>
    <tableColumn id="24" name="Cronograma" dataDxfId="7"/>
    <tableColumn id="25" name="Custo" dataDxfId="6"/>
    <tableColumn id="26" name="Aquisições" dataDxfId="5"/>
    <tableColumn id="27" name="Recursos" dataDxfId="4"/>
    <tableColumn id="28" name="EAP" dataDxfId="3"/>
    <tableColumn id="29" name="Linha de Base Cronogram" dataDxfId="2"/>
    <tableColumn id="30" name="Linha de Base dos Custos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1:C14"/>
  <sheetViews>
    <sheetView showGridLines="0" zoomScale="80" zoomScaleNormal="80" workbookViewId="0">
      <selection activeCell="B38" sqref="B38"/>
    </sheetView>
  </sheetViews>
  <sheetFormatPr defaultRowHeight="15" x14ac:dyDescent="0.25"/>
  <cols>
    <col min="1" max="1" width="1.5703125" customWidth="1"/>
    <col min="2" max="2" width="46.140625" style="39" bestFit="1" customWidth="1"/>
    <col min="3" max="3" width="122" customWidth="1"/>
  </cols>
  <sheetData>
    <row r="1" spans="2:3" ht="9.75" customHeight="1" thickBot="1" x14ac:dyDescent="0.3"/>
    <row r="2" spans="2:3" ht="20.25" thickBot="1" x14ac:dyDescent="0.35">
      <c r="B2" s="246" t="s">
        <v>257</v>
      </c>
      <c r="C2" s="247"/>
    </row>
    <row r="3" spans="2:3" ht="21" customHeight="1" thickBot="1" x14ac:dyDescent="0.3">
      <c r="B3" s="43" t="s">
        <v>71</v>
      </c>
      <c r="C3" s="40" t="s">
        <v>268</v>
      </c>
    </row>
    <row r="4" spans="2:3" ht="21" customHeight="1" thickBot="1" x14ac:dyDescent="0.3">
      <c r="B4" s="43" t="s">
        <v>256</v>
      </c>
      <c r="C4" s="40" t="s">
        <v>70</v>
      </c>
    </row>
    <row r="5" spans="2:3" ht="24" thickBot="1" x14ac:dyDescent="0.3">
      <c r="B5" s="43" t="s">
        <v>74</v>
      </c>
      <c r="C5" s="40" t="s">
        <v>90</v>
      </c>
    </row>
    <row r="6" spans="2:3" ht="24" thickBot="1" x14ac:dyDescent="0.3">
      <c r="B6" s="43" t="s">
        <v>73</v>
      </c>
      <c r="C6" s="40" t="s">
        <v>84</v>
      </c>
    </row>
    <row r="7" spans="2:3" ht="24" thickBot="1" x14ac:dyDescent="0.3">
      <c r="B7" s="43" t="s">
        <v>75</v>
      </c>
      <c r="C7" s="40" t="s">
        <v>59</v>
      </c>
    </row>
    <row r="8" spans="2:3" ht="15.75" thickBot="1" x14ac:dyDescent="0.3"/>
    <row r="9" spans="2:3" ht="20.25" thickBot="1" x14ac:dyDescent="0.35">
      <c r="B9" s="246" t="s">
        <v>98</v>
      </c>
      <c r="C9" s="247"/>
    </row>
    <row r="10" spans="2:3" ht="24" thickBot="1" x14ac:dyDescent="0.3">
      <c r="B10" s="43" t="s">
        <v>77</v>
      </c>
      <c r="C10" s="40" t="s">
        <v>104</v>
      </c>
    </row>
    <row r="11" spans="2:3" ht="24" thickBot="1" x14ac:dyDescent="0.3">
      <c r="B11" s="43" t="s">
        <v>78</v>
      </c>
      <c r="C11" s="40" t="s">
        <v>104</v>
      </c>
    </row>
    <row r="12" spans="2:3" ht="24" thickBot="1" x14ac:dyDescent="0.3">
      <c r="B12" s="43" t="s">
        <v>85</v>
      </c>
      <c r="C12" s="40">
        <v>30</v>
      </c>
    </row>
    <row r="13" spans="2:3" ht="24" thickBot="1" x14ac:dyDescent="0.3">
      <c r="B13" s="43" t="s">
        <v>79</v>
      </c>
      <c r="C13" s="40" t="s">
        <v>269</v>
      </c>
    </row>
    <row r="14" spans="2:3" ht="24" thickBot="1" x14ac:dyDescent="0.3">
      <c r="B14" s="43" t="s">
        <v>80</v>
      </c>
      <c r="C14" s="40" t="s">
        <v>270</v>
      </c>
    </row>
  </sheetData>
  <mergeCells count="2">
    <mergeCell ref="B2:C2"/>
    <mergeCell ref="B9:C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Indicadores!$D$25:$D$27</xm:f>
          </x14:formula1>
          <xm:sqref>C5</xm:sqref>
        </x14:dataValidation>
        <x14:dataValidation type="list" allowBlank="1" showInputMessage="1" showErrorMessage="1">
          <x14:formula1>
            <xm:f>Indicadores!$B$31:$B$34</xm:f>
          </x14:formula1>
          <xm:sqref>C6</xm:sqref>
        </x14:dataValidation>
        <x14:dataValidation type="list" allowBlank="1" showInputMessage="1" showErrorMessage="1">
          <x14:formula1>
            <xm:f>Indicadores!$B$38:$B$42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85"/>
  <sheetViews>
    <sheetView zoomScale="70" zoomScaleNormal="70" workbookViewId="0">
      <selection activeCell="B2" sqref="B2:D2"/>
    </sheetView>
  </sheetViews>
  <sheetFormatPr defaultRowHeight="15" x14ac:dyDescent="0.25"/>
  <cols>
    <col min="1" max="1" width="3.28515625" style="5" customWidth="1"/>
    <col min="2" max="2" width="31.140625" customWidth="1"/>
    <col min="3" max="3" width="11" style="1" bestFit="1" customWidth="1"/>
    <col min="4" max="4" width="64.7109375" bestFit="1" customWidth="1"/>
    <col min="5" max="5" width="34.140625" customWidth="1"/>
    <col min="6" max="26" width="9.140625" style="5"/>
  </cols>
  <sheetData>
    <row r="1" spans="2:5" s="5" customFormat="1" ht="15.75" thickBot="1" x14ac:dyDescent="0.3">
      <c r="C1" s="19"/>
    </row>
    <row r="2" spans="2:5" ht="15.75" customHeight="1" thickBot="1" x14ac:dyDescent="0.3">
      <c r="B2" s="248" t="s">
        <v>17</v>
      </c>
      <c r="C2" s="249"/>
      <c r="D2" s="249"/>
      <c r="E2" s="36"/>
    </row>
    <row r="3" spans="2:5" ht="15.75" thickBot="1" x14ac:dyDescent="0.3">
      <c r="B3" s="24" t="s">
        <v>18</v>
      </c>
      <c r="C3" s="24" t="s">
        <v>37</v>
      </c>
      <c r="D3" s="24" t="s">
        <v>19</v>
      </c>
      <c r="E3" s="25" t="s">
        <v>20</v>
      </c>
    </row>
    <row r="4" spans="2:5" x14ac:dyDescent="0.25">
      <c r="B4" s="22" t="s">
        <v>57</v>
      </c>
      <c r="C4" s="12">
        <v>0.9</v>
      </c>
      <c r="D4" s="14" t="s">
        <v>21</v>
      </c>
      <c r="E4" s="13" t="s">
        <v>68</v>
      </c>
    </row>
    <row r="5" spans="2:5" x14ac:dyDescent="0.25">
      <c r="B5" s="23" t="s">
        <v>58</v>
      </c>
      <c r="C5" s="6">
        <v>0.7</v>
      </c>
      <c r="D5" s="15" t="s">
        <v>22</v>
      </c>
      <c r="E5" s="11" t="s">
        <v>66</v>
      </c>
    </row>
    <row r="6" spans="2:5" x14ac:dyDescent="0.25">
      <c r="B6" s="23" t="s">
        <v>59</v>
      </c>
      <c r="C6" s="6">
        <v>0.5</v>
      </c>
      <c r="D6" s="15" t="s">
        <v>23</v>
      </c>
      <c r="E6" s="11" t="s">
        <v>65</v>
      </c>
    </row>
    <row r="7" spans="2:5" x14ac:dyDescent="0.25">
      <c r="B7" s="23" t="s">
        <v>60</v>
      </c>
      <c r="C7" s="6">
        <v>0.32</v>
      </c>
      <c r="D7" s="15" t="s">
        <v>24</v>
      </c>
      <c r="E7" s="11" t="s">
        <v>64</v>
      </c>
    </row>
    <row r="8" spans="2:5" x14ac:dyDescent="0.25">
      <c r="B8" s="23" t="s">
        <v>61</v>
      </c>
      <c r="C8" s="6">
        <v>0.15</v>
      </c>
      <c r="D8" s="15" t="s">
        <v>25</v>
      </c>
      <c r="E8" s="11" t="s">
        <v>63</v>
      </c>
    </row>
    <row r="9" spans="2:5" x14ac:dyDescent="0.25">
      <c r="B9" s="23" t="s">
        <v>38</v>
      </c>
      <c r="C9" s="6">
        <v>0</v>
      </c>
      <c r="D9" s="15" t="s">
        <v>39</v>
      </c>
      <c r="E9" s="11" t="s">
        <v>67</v>
      </c>
    </row>
    <row r="10" spans="2:5" ht="15.75" thickBot="1" x14ac:dyDescent="0.3">
      <c r="B10" s="8"/>
      <c r="C10" s="9"/>
      <c r="D10" s="8"/>
      <c r="E10" s="8"/>
    </row>
    <row r="11" spans="2:5" ht="18.75" customHeight="1" x14ac:dyDescent="0.25">
      <c r="B11" s="251" t="s">
        <v>26</v>
      </c>
      <c r="C11" s="252"/>
      <c r="D11" s="253"/>
      <c r="E11" s="8"/>
    </row>
    <row r="12" spans="2:5" ht="26.25" thickBot="1" x14ac:dyDescent="0.3">
      <c r="B12" s="24" t="s">
        <v>18</v>
      </c>
      <c r="C12" s="24" t="s">
        <v>37</v>
      </c>
      <c r="D12" s="29" t="s">
        <v>69</v>
      </c>
      <c r="E12" s="8"/>
    </row>
    <row r="13" spans="2:5" x14ac:dyDescent="0.25">
      <c r="B13" s="26" t="s">
        <v>27</v>
      </c>
      <c r="C13" s="17">
        <v>5</v>
      </c>
      <c r="D13" s="27" t="s">
        <v>28</v>
      </c>
      <c r="E13" s="8"/>
    </row>
    <row r="14" spans="2:5" x14ac:dyDescent="0.25">
      <c r="B14" s="10" t="s">
        <v>29</v>
      </c>
      <c r="C14" s="18">
        <v>4</v>
      </c>
      <c r="D14" s="28" t="s">
        <v>30</v>
      </c>
      <c r="E14" s="8"/>
    </row>
    <row r="15" spans="2:5" x14ac:dyDescent="0.25">
      <c r="B15" s="10" t="s">
        <v>31</v>
      </c>
      <c r="C15" s="18">
        <v>3</v>
      </c>
      <c r="D15" s="28" t="s">
        <v>32</v>
      </c>
      <c r="E15" s="8"/>
    </row>
    <row r="16" spans="2:5" x14ac:dyDescent="0.25">
      <c r="B16" s="10" t="s">
        <v>33</v>
      </c>
      <c r="C16" s="18">
        <v>2</v>
      </c>
      <c r="D16" s="28" t="s">
        <v>34</v>
      </c>
      <c r="E16" s="8"/>
    </row>
    <row r="17" spans="2:6" x14ac:dyDescent="0.25">
      <c r="B17" s="10" t="s">
        <v>35</v>
      </c>
      <c r="C17" s="18">
        <v>1</v>
      </c>
      <c r="D17" s="28" t="s">
        <v>36</v>
      </c>
      <c r="E17" s="8"/>
    </row>
    <row r="18" spans="2:6" x14ac:dyDescent="0.25">
      <c r="B18" s="10" t="s">
        <v>40</v>
      </c>
      <c r="C18" s="18">
        <v>0</v>
      </c>
      <c r="D18" s="30" t="s">
        <v>41</v>
      </c>
      <c r="E18" s="8"/>
    </row>
    <row r="19" spans="2:6" s="5" customFormat="1" ht="15.75" thickBot="1" x14ac:dyDescent="0.3">
      <c r="C19" s="19"/>
    </row>
    <row r="20" spans="2:6" s="5" customFormat="1" ht="15.75" thickBot="1" x14ac:dyDescent="0.3">
      <c r="B20" s="251" t="s">
        <v>255</v>
      </c>
      <c r="C20" s="252"/>
      <c r="D20" s="253"/>
    </row>
    <row r="21" spans="2:6" s="5" customFormat="1" ht="15.75" thickBot="1" x14ac:dyDescent="0.3">
      <c r="B21" s="260" t="s">
        <v>48</v>
      </c>
      <c r="C21" s="261"/>
      <c r="D21" s="35">
        <f>IF(Qualificação!C5=D25,Indicadores!B25,IF(Qualificação!C5=D26,B26,B27))+VLOOKUP(Qualificação!C6,Indicadores!B31:C34,2,FALSE)+VLOOKUP(Qualificação!C7,Indicadores!B38:C42,2,FALSE)</f>
        <v>0.6</v>
      </c>
    </row>
    <row r="22" spans="2:6" s="5" customFormat="1" ht="15.75" thickBot="1" x14ac:dyDescent="0.3">
      <c r="C22" s="19"/>
    </row>
    <row r="23" spans="2:6" s="5" customFormat="1" ht="15.75" thickBot="1" x14ac:dyDescent="0.3">
      <c r="B23" s="251" t="s">
        <v>97</v>
      </c>
      <c r="C23" s="252"/>
      <c r="D23" s="253"/>
    </row>
    <row r="24" spans="2:6" s="5" customFormat="1" ht="15.75" thickBot="1" x14ac:dyDescent="0.3">
      <c r="B24" s="254" t="s">
        <v>95</v>
      </c>
      <c r="C24" s="255"/>
      <c r="D24" s="47" t="s">
        <v>96</v>
      </c>
      <c r="F24" s="56"/>
    </row>
    <row r="25" spans="2:6" s="5" customFormat="1" x14ac:dyDescent="0.25">
      <c r="B25" s="256">
        <v>0.2</v>
      </c>
      <c r="C25" s="257"/>
      <c r="D25" s="45" t="s">
        <v>90</v>
      </c>
    </row>
    <row r="26" spans="2:6" s="5" customFormat="1" x14ac:dyDescent="0.25">
      <c r="B26" s="258">
        <v>0.3</v>
      </c>
      <c r="C26" s="259"/>
      <c r="D26" s="46" t="s">
        <v>91</v>
      </c>
    </row>
    <row r="27" spans="2:6" s="5" customFormat="1" ht="15.75" thickBot="1" x14ac:dyDescent="0.3">
      <c r="B27" s="262">
        <v>0.4</v>
      </c>
      <c r="C27" s="263"/>
      <c r="D27" s="48" t="s">
        <v>92</v>
      </c>
    </row>
    <row r="28" spans="2:6" s="5" customFormat="1" ht="15.75" thickBot="1" x14ac:dyDescent="0.3">
      <c r="C28" s="19"/>
    </row>
    <row r="29" spans="2:6" s="5" customFormat="1" ht="15.75" thickBot="1" x14ac:dyDescent="0.3">
      <c r="B29" s="248" t="s">
        <v>109</v>
      </c>
      <c r="C29" s="249"/>
      <c r="D29" s="250"/>
    </row>
    <row r="30" spans="2:6" s="5" customFormat="1" ht="15.75" thickBot="1" x14ac:dyDescent="0.3">
      <c r="B30" s="97" t="s">
        <v>18</v>
      </c>
      <c r="C30" s="156" t="s">
        <v>37</v>
      </c>
      <c r="D30" s="156" t="s">
        <v>0</v>
      </c>
    </row>
    <row r="31" spans="2:6" s="5" customFormat="1" x14ac:dyDescent="0.25">
      <c r="B31" s="152" t="s">
        <v>81</v>
      </c>
      <c r="C31" s="153">
        <v>0.05</v>
      </c>
      <c r="D31" s="154" t="s">
        <v>86</v>
      </c>
    </row>
    <row r="32" spans="2:6" s="5" customFormat="1" x14ac:dyDescent="0.25">
      <c r="B32" s="44" t="s">
        <v>82</v>
      </c>
      <c r="C32" s="52">
        <v>0.1</v>
      </c>
      <c r="D32" s="41" t="s">
        <v>87</v>
      </c>
    </row>
    <row r="33" spans="2:4" s="5" customFormat="1" x14ac:dyDescent="0.25">
      <c r="B33" s="44" t="s">
        <v>83</v>
      </c>
      <c r="C33" s="53">
        <v>0.2</v>
      </c>
      <c r="D33" s="42" t="s">
        <v>88</v>
      </c>
    </row>
    <row r="34" spans="2:4" s="5" customFormat="1" ht="15.75" thickBot="1" x14ac:dyDescent="0.3">
      <c r="B34" s="49" t="s">
        <v>84</v>
      </c>
      <c r="C34" s="54">
        <v>0.3</v>
      </c>
      <c r="D34" s="51" t="s">
        <v>89</v>
      </c>
    </row>
    <row r="35" spans="2:4" s="5" customFormat="1" ht="15.75" thickBot="1" x14ac:dyDescent="0.3">
      <c r="C35" s="19"/>
    </row>
    <row r="36" spans="2:4" s="5" customFormat="1" ht="15.75" thickBot="1" x14ac:dyDescent="0.3">
      <c r="B36" s="248" t="s">
        <v>110</v>
      </c>
      <c r="C36" s="249"/>
      <c r="D36" s="250"/>
    </row>
    <row r="37" spans="2:4" s="5" customFormat="1" ht="15.75" thickBot="1" x14ac:dyDescent="0.3">
      <c r="B37" s="97" t="s">
        <v>94</v>
      </c>
      <c r="C37" s="156" t="s">
        <v>93</v>
      </c>
      <c r="D37" s="156" t="s">
        <v>0</v>
      </c>
    </row>
    <row r="38" spans="2:4" s="5" customFormat="1" x14ac:dyDescent="0.25">
      <c r="B38" s="152" t="s">
        <v>61</v>
      </c>
      <c r="C38" s="153">
        <v>0</v>
      </c>
      <c r="D38" s="154" t="s">
        <v>99</v>
      </c>
    </row>
    <row r="39" spans="2:4" s="5" customFormat="1" x14ac:dyDescent="0.25">
      <c r="B39" s="44" t="s">
        <v>60</v>
      </c>
      <c r="C39" s="52">
        <v>0.05</v>
      </c>
      <c r="D39" s="41" t="s">
        <v>100</v>
      </c>
    </row>
    <row r="40" spans="2:4" s="5" customFormat="1" x14ac:dyDescent="0.25">
      <c r="B40" s="44" t="s">
        <v>59</v>
      </c>
      <c r="C40" s="53">
        <v>0.1</v>
      </c>
      <c r="D40" s="42" t="s">
        <v>101</v>
      </c>
    </row>
    <row r="41" spans="2:4" s="5" customFormat="1" x14ac:dyDescent="0.25">
      <c r="B41" s="44" t="s">
        <v>58</v>
      </c>
      <c r="C41" s="52">
        <v>0.15</v>
      </c>
      <c r="D41" s="41" t="s">
        <v>102</v>
      </c>
    </row>
    <row r="42" spans="2:4" s="5" customFormat="1" ht="15.75" thickBot="1" x14ac:dyDescent="0.3">
      <c r="B42" s="49" t="s">
        <v>57</v>
      </c>
      <c r="C42" s="55">
        <v>0.25</v>
      </c>
      <c r="D42" s="50" t="s">
        <v>103</v>
      </c>
    </row>
    <row r="43" spans="2:4" s="5" customFormat="1" ht="15.75" thickBot="1" x14ac:dyDescent="0.3">
      <c r="C43" s="19"/>
    </row>
    <row r="44" spans="2:4" s="5" customFormat="1" ht="15.75" thickBot="1" x14ac:dyDescent="0.3">
      <c r="B44" s="248" t="s">
        <v>251</v>
      </c>
      <c r="C44" s="249"/>
      <c r="D44" s="250"/>
    </row>
    <row r="45" spans="2:4" s="5" customFormat="1" ht="15.75" thickBot="1" x14ac:dyDescent="0.3">
      <c r="B45" s="97" t="s">
        <v>18</v>
      </c>
      <c r="C45" s="156" t="s">
        <v>37</v>
      </c>
      <c r="D45" s="156" t="s">
        <v>261</v>
      </c>
    </row>
    <row r="46" spans="2:4" s="5" customFormat="1" x14ac:dyDescent="0.25">
      <c r="B46" s="157" t="s">
        <v>27</v>
      </c>
      <c r="C46" s="153">
        <v>0.7</v>
      </c>
      <c r="D46" s="154" t="s">
        <v>250</v>
      </c>
    </row>
    <row r="47" spans="2:4" s="5" customFormat="1" x14ac:dyDescent="0.25">
      <c r="B47" s="150" t="s">
        <v>29</v>
      </c>
      <c r="C47" s="155">
        <v>0.6</v>
      </c>
      <c r="D47" s="149" t="s">
        <v>260</v>
      </c>
    </row>
    <row r="48" spans="2:4" s="5" customFormat="1" x14ac:dyDescent="0.25">
      <c r="B48" s="150" t="s">
        <v>31</v>
      </c>
      <c r="C48" s="153">
        <v>0.4</v>
      </c>
      <c r="D48" s="154" t="s">
        <v>262</v>
      </c>
    </row>
    <row r="49" spans="2:6" s="5" customFormat="1" x14ac:dyDescent="0.25">
      <c r="B49" s="150" t="s">
        <v>33</v>
      </c>
      <c r="C49" s="52">
        <v>0.2</v>
      </c>
      <c r="D49" s="41" t="s">
        <v>263</v>
      </c>
    </row>
    <row r="50" spans="2:6" s="5" customFormat="1" x14ac:dyDescent="0.25">
      <c r="B50" s="150" t="s">
        <v>35</v>
      </c>
      <c r="C50" s="53">
        <v>0.1</v>
      </c>
      <c r="D50" s="154" t="s">
        <v>249</v>
      </c>
    </row>
    <row r="51" spans="2:6" s="5" customFormat="1" ht="15.75" thickBot="1" x14ac:dyDescent="0.3">
      <c r="B51" s="151" t="s">
        <v>40</v>
      </c>
      <c r="C51" s="54">
        <v>0</v>
      </c>
      <c r="D51" s="160" t="s">
        <v>264</v>
      </c>
    </row>
    <row r="52" spans="2:6" s="5" customFormat="1" x14ac:dyDescent="0.25">
      <c r="C52" s="19"/>
    </row>
    <row r="53" spans="2:6" s="5" customFormat="1" ht="15.75" thickBot="1" x14ac:dyDescent="0.3">
      <c r="C53" s="19"/>
    </row>
    <row r="54" spans="2:6" s="5" customFormat="1" ht="15.75" thickBot="1" x14ac:dyDescent="0.3">
      <c r="B54" s="248" t="s">
        <v>171</v>
      </c>
      <c r="C54" s="249"/>
      <c r="D54" s="250"/>
    </row>
    <row r="55" spans="2:6" s="5" customFormat="1" ht="15.75" thickBot="1" x14ac:dyDescent="0.3">
      <c r="B55" s="97" t="s">
        <v>8</v>
      </c>
      <c r="C55" s="156" t="s">
        <v>187</v>
      </c>
      <c r="D55" s="156" t="s">
        <v>7</v>
      </c>
    </row>
    <row r="56" spans="2:6" s="5" customFormat="1" x14ac:dyDescent="0.25">
      <c r="B56" s="152" t="s">
        <v>1</v>
      </c>
      <c r="C56" s="158">
        <v>1</v>
      </c>
      <c r="D56" s="159" t="s">
        <v>274</v>
      </c>
    </row>
    <row r="57" spans="2:6" s="5" customFormat="1" ht="15" customHeight="1" x14ac:dyDescent="0.25">
      <c r="B57" s="44" t="s">
        <v>173</v>
      </c>
      <c r="C57" s="96">
        <v>2</v>
      </c>
      <c r="D57" s="85" t="s">
        <v>168</v>
      </c>
    </row>
    <row r="58" spans="2:6" s="5" customFormat="1" ht="15.75" thickBot="1" x14ac:dyDescent="0.3">
      <c r="B58" s="49" t="s">
        <v>117</v>
      </c>
      <c r="C58" s="95">
        <v>3</v>
      </c>
      <c r="D58" s="86" t="s">
        <v>275</v>
      </c>
    </row>
    <row r="59" spans="2:6" s="5" customFormat="1" x14ac:dyDescent="0.25">
      <c r="C59" s="19"/>
    </row>
    <row r="60" spans="2:6" s="5" customFormat="1" x14ac:dyDescent="0.25">
      <c r="C60" s="19"/>
    </row>
    <row r="61" spans="2:6" s="5" customFormat="1" x14ac:dyDescent="0.25">
      <c r="C61" s="19"/>
    </row>
    <row r="62" spans="2:6" s="5" customFormat="1" x14ac:dyDescent="0.25">
      <c r="C62" s="19"/>
      <c r="D62" s="78"/>
      <c r="E62" s="78"/>
      <c r="F62" s="78"/>
    </row>
    <row r="63" spans="2:6" s="5" customFormat="1" x14ac:dyDescent="0.25">
      <c r="C63" s="19"/>
      <c r="D63" s="82"/>
      <c r="E63" s="78"/>
      <c r="F63" s="78"/>
    </row>
    <row r="64" spans="2:6" s="5" customFormat="1" x14ac:dyDescent="0.25">
      <c r="C64" s="19"/>
      <c r="D64" s="78"/>
      <c r="E64" s="78"/>
      <c r="F64" s="78"/>
    </row>
    <row r="65" spans="3:3" s="5" customFormat="1" x14ac:dyDescent="0.25">
      <c r="C65" s="19"/>
    </row>
    <row r="66" spans="3:3" s="5" customFormat="1" x14ac:dyDescent="0.25">
      <c r="C66" s="19"/>
    </row>
    <row r="67" spans="3:3" s="5" customFormat="1" x14ac:dyDescent="0.25">
      <c r="C67" s="19"/>
    </row>
    <row r="68" spans="3:3" s="5" customFormat="1" x14ac:dyDescent="0.25">
      <c r="C68" s="19"/>
    </row>
    <row r="69" spans="3:3" s="5" customFormat="1" x14ac:dyDescent="0.25">
      <c r="C69" s="19"/>
    </row>
    <row r="70" spans="3:3" s="5" customFormat="1" x14ac:dyDescent="0.25">
      <c r="C70" s="19"/>
    </row>
    <row r="71" spans="3:3" s="5" customFormat="1" x14ac:dyDescent="0.25">
      <c r="C71" s="19"/>
    </row>
    <row r="72" spans="3:3" s="5" customFormat="1" x14ac:dyDescent="0.25">
      <c r="C72" s="19"/>
    </row>
    <row r="73" spans="3:3" s="5" customFormat="1" x14ac:dyDescent="0.25">
      <c r="C73" s="19"/>
    </row>
    <row r="74" spans="3:3" s="5" customFormat="1" x14ac:dyDescent="0.25">
      <c r="C74" s="19"/>
    </row>
    <row r="75" spans="3:3" s="5" customFormat="1" x14ac:dyDescent="0.25">
      <c r="C75" s="19"/>
    </row>
    <row r="76" spans="3:3" s="5" customFormat="1" x14ac:dyDescent="0.25">
      <c r="C76" s="19"/>
    </row>
    <row r="77" spans="3:3" s="5" customFormat="1" x14ac:dyDescent="0.25">
      <c r="C77" s="19"/>
    </row>
    <row r="78" spans="3:3" s="5" customFormat="1" x14ac:dyDescent="0.25">
      <c r="C78" s="19"/>
    </row>
    <row r="79" spans="3:3" s="5" customFormat="1" x14ac:dyDescent="0.25">
      <c r="C79" s="19"/>
    </row>
    <row r="80" spans="3:3" s="5" customFormat="1" x14ac:dyDescent="0.25">
      <c r="C80" s="19"/>
    </row>
    <row r="81" spans="3:3" s="5" customFormat="1" x14ac:dyDescent="0.25">
      <c r="C81" s="19"/>
    </row>
    <row r="82" spans="3:3" s="5" customFormat="1" x14ac:dyDescent="0.25">
      <c r="C82" s="19"/>
    </row>
    <row r="83" spans="3:3" s="5" customFormat="1" x14ac:dyDescent="0.25">
      <c r="C83" s="19"/>
    </row>
    <row r="84" spans="3:3" s="5" customFormat="1" x14ac:dyDescent="0.25">
      <c r="C84" s="19"/>
    </row>
    <row r="85" spans="3:3" s="5" customFormat="1" x14ac:dyDescent="0.25">
      <c r="C85" s="19"/>
    </row>
  </sheetData>
  <mergeCells count="13">
    <mergeCell ref="B54:D54"/>
    <mergeCell ref="B2:D2"/>
    <mergeCell ref="B23:D23"/>
    <mergeCell ref="B24:C24"/>
    <mergeCell ref="B25:C25"/>
    <mergeCell ref="B26:C26"/>
    <mergeCell ref="B29:D29"/>
    <mergeCell ref="B36:D36"/>
    <mergeCell ref="B11:D11"/>
    <mergeCell ref="B20:D20"/>
    <mergeCell ref="B21:C21"/>
    <mergeCell ref="B27:C27"/>
    <mergeCell ref="B44:D44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H26"/>
  <sheetViews>
    <sheetView showGridLines="0" zoomScale="70" zoomScaleNormal="70" workbookViewId="0">
      <selection activeCell="B5" sqref="B5:B6"/>
    </sheetView>
  </sheetViews>
  <sheetFormatPr defaultRowHeight="15" x14ac:dyDescent="0.25"/>
  <cols>
    <col min="1" max="1" width="2.5703125" customWidth="1"/>
    <col min="2" max="2" width="16.42578125" style="39" bestFit="1" customWidth="1"/>
    <col min="3" max="3" width="17.5703125" style="39" customWidth="1"/>
    <col min="4" max="4" width="63.7109375" customWidth="1"/>
    <col min="5" max="5" width="22.42578125" style="39" customWidth="1"/>
    <col min="6" max="6" width="24.140625" style="39" customWidth="1"/>
    <col min="7" max="7" width="38.42578125" customWidth="1"/>
    <col min="8" max="8" width="44.28515625" customWidth="1"/>
  </cols>
  <sheetData>
    <row r="1" spans="2:8" ht="15.75" thickBot="1" x14ac:dyDescent="0.3"/>
    <row r="2" spans="2:8" ht="24" thickBot="1" x14ac:dyDescent="0.3">
      <c r="B2" s="43" t="s">
        <v>71</v>
      </c>
      <c r="C2" s="266" t="s">
        <v>268</v>
      </c>
      <c r="D2" s="267"/>
      <c r="E2" s="267"/>
      <c r="F2" s="267"/>
      <c r="G2" s="267"/>
      <c r="H2" s="268"/>
    </row>
    <row r="3" spans="2:8" ht="24" thickBot="1" x14ac:dyDescent="0.3">
      <c r="B3" s="43" t="s">
        <v>72</v>
      </c>
      <c r="C3" s="70" t="s">
        <v>70</v>
      </c>
      <c r="D3" s="72"/>
      <c r="E3" s="146"/>
      <c r="F3" s="146"/>
      <c r="G3" s="72"/>
      <c r="H3" s="71"/>
    </row>
    <row r="4" spans="2:8" ht="20.25" thickBot="1" x14ac:dyDescent="0.35">
      <c r="B4" s="264" t="s">
        <v>150</v>
      </c>
      <c r="C4" s="265"/>
      <c r="D4" s="265"/>
      <c r="E4" s="265"/>
      <c r="F4" s="265"/>
      <c r="G4" s="265"/>
      <c r="H4" s="265"/>
    </row>
    <row r="5" spans="2:8" ht="19.5" customHeight="1" thickBot="1" x14ac:dyDescent="0.3">
      <c r="B5" s="269" t="s">
        <v>246</v>
      </c>
      <c r="C5" s="269" t="s">
        <v>74</v>
      </c>
      <c r="D5" s="271" t="s">
        <v>72</v>
      </c>
      <c r="E5" s="275" t="s">
        <v>238</v>
      </c>
      <c r="F5" s="275" t="s">
        <v>240</v>
      </c>
      <c r="G5" s="273" t="s">
        <v>166</v>
      </c>
      <c r="H5" s="274"/>
    </row>
    <row r="6" spans="2:8" ht="19.5" customHeight="1" thickBot="1" x14ac:dyDescent="0.3">
      <c r="B6" s="270"/>
      <c r="C6" s="270"/>
      <c r="D6" s="272"/>
      <c r="E6" s="276"/>
      <c r="F6" s="276"/>
      <c r="G6" s="231" t="s">
        <v>167</v>
      </c>
      <c r="H6" s="231" t="s">
        <v>123</v>
      </c>
    </row>
    <row r="7" spans="2:8" ht="63" x14ac:dyDescent="0.25">
      <c r="B7" s="219">
        <v>1</v>
      </c>
      <c r="C7" s="193" t="s">
        <v>131</v>
      </c>
      <c r="D7" s="69" t="s">
        <v>235</v>
      </c>
      <c r="E7" s="114" t="s">
        <v>239</v>
      </c>
      <c r="F7" s="114" t="s">
        <v>243</v>
      </c>
      <c r="G7" s="230" t="s">
        <v>132</v>
      </c>
      <c r="H7" s="220" t="s">
        <v>236</v>
      </c>
    </row>
    <row r="8" spans="2:8" ht="41.25" customHeight="1" x14ac:dyDescent="0.25">
      <c r="B8" s="221">
        <f>B7+1</f>
        <v>2</v>
      </c>
      <c r="C8" s="193" t="s">
        <v>131</v>
      </c>
      <c r="D8" s="67" t="s">
        <v>46</v>
      </c>
      <c r="E8" s="114" t="s">
        <v>239</v>
      </c>
      <c r="F8" s="114" t="s">
        <v>243</v>
      </c>
      <c r="G8" s="83" t="s">
        <v>132</v>
      </c>
      <c r="H8" s="220" t="s">
        <v>138</v>
      </c>
    </row>
    <row r="9" spans="2:8" ht="41.25" customHeight="1" x14ac:dyDescent="0.25">
      <c r="B9" s="221">
        <f t="shared" ref="B9:B26" si="0">B8+1</f>
        <v>3</v>
      </c>
      <c r="C9" s="193" t="s">
        <v>130</v>
      </c>
      <c r="D9" s="67" t="s">
        <v>230</v>
      </c>
      <c r="E9" s="114" t="s">
        <v>239</v>
      </c>
      <c r="F9" s="114" t="s">
        <v>244</v>
      </c>
      <c r="G9" s="84" t="s">
        <v>142</v>
      </c>
      <c r="H9" s="222" t="s">
        <v>132</v>
      </c>
    </row>
    <row r="10" spans="2:8" ht="41.25" customHeight="1" x14ac:dyDescent="0.25">
      <c r="B10" s="221">
        <f t="shared" si="0"/>
        <v>4</v>
      </c>
      <c r="C10" s="193" t="s">
        <v>130</v>
      </c>
      <c r="D10" s="67" t="s">
        <v>105</v>
      </c>
      <c r="E10" s="114" t="s">
        <v>242</v>
      </c>
      <c r="F10" s="114" t="s">
        <v>244</v>
      </c>
      <c r="G10" s="84" t="s">
        <v>133</v>
      </c>
      <c r="H10" s="222" t="s">
        <v>132</v>
      </c>
    </row>
    <row r="11" spans="2:8" ht="41.25" customHeight="1" x14ac:dyDescent="0.25">
      <c r="B11" s="221">
        <f t="shared" si="0"/>
        <v>5</v>
      </c>
      <c r="C11" s="193" t="s">
        <v>130</v>
      </c>
      <c r="D11" s="67" t="s">
        <v>112</v>
      </c>
      <c r="E11" s="114" t="s">
        <v>242</v>
      </c>
      <c r="F11" s="114" t="s">
        <v>244</v>
      </c>
      <c r="G11" s="84" t="s">
        <v>134</v>
      </c>
      <c r="H11" s="222" t="s">
        <v>132</v>
      </c>
    </row>
    <row r="12" spans="2:8" ht="41.25" customHeight="1" x14ac:dyDescent="0.25">
      <c r="B12" s="221">
        <f t="shared" si="0"/>
        <v>6</v>
      </c>
      <c r="C12" s="193" t="s">
        <v>130</v>
      </c>
      <c r="D12" s="67" t="s">
        <v>231</v>
      </c>
      <c r="E12" s="114" t="s">
        <v>239</v>
      </c>
      <c r="F12" s="114" t="s">
        <v>241</v>
      </c>
      <c r="G12" s="84" t="s">
        <v>135</v>
      </c>
      <c r="H12" s="222" t="s">
        <v>132</v>
      </c>
    </row>
    <row r="13" spans="2:8" ht="41.25" customHeight="1" x14ac:dyDescent="0.25">
      <c r="B13" s="221">
        <f t="shared" si="0"/>
        <v>7</v>
      </c>
      <c r="C13" s="193" t="s">
        <v>130</v>
      </c>
      <c r="D13" s="67" t="s">
        <v>233</v>
      </c>
      <c r="E13" s="114" t="s">
        <v>242</v>
      </c>
      <c r="F13" s="114" t="s">
        <v>241</v>
      </c>
      <c r="G13" s="84" t="s">
        <v>136</v>
      </c>
      <c r="H13" s="222" t="s">
        <v>132</v>
      </c>
    </row>
    <row r="14" spans="2:8" ht="41.25" customHeight="1" x14ac:dyDescent="0.25">
      <c r="B14" s="221">
        <f t="shared" si="0"/>
        <v>8</v>
      </c>
      <c r="C14" s="193" t="s">
        <v>130</v>
      </c>
      <c r="D14" s="67" t="s">
        <v>232</v>
      </c>
      <c r="E14" s="114" t="s">
        <v>239</v>
      </c>
      <c r="F14" s="114" t="s">
        <v>241</v>
      </c>
      <c r="G14" s="84" t="s">
        <v>137</v>
      </c>
      <c r="H14" s="222" t="s">
        <v>132</v>
      </c>
    </row>
    <row r="15" spans="2:8" ht="34.5" customHeight="1" x14ac:dyDescent="0.25">
      <c r="B15" s="221">
        <f t="shared" si="0"/>
        <v>9</v>
      </c>
      <c r="C15" s="193" t="s">
        <v>131</v>
      </c>
      <c r="D15" s="67" t="s">
        <v>44</v>
      </c>
      <c r="E15" s="114" t="s">
        <v>239</v>
      </c>
      <c r="F15" s="114" t="s">
        <v>245</v>
      </c>
      <c r="G15" s="83" t="s">
        <v>132</v>
      </c>
      <c r="H15" s="220" t="s">
        <v>139</v>
      </c>
    </row>
    <row r="16" spans="2:8" ht="31.5" x14ac:dyDescent="0.25">
      <c r="B16" s="221">
        <f t="shared" si="0"/>
        <v>10</v>
      </c>
      <c r="C16" s="193" t="s">
        <v>131</v>
      </c>
      <c r="D16" s="67" t="s">
        <v>47</v>
      </c>
      <c r="E16" s="114" t="s">
        <v>239</v>
      </c>
      <c r="F16" s="114" t="s">
        <v>243</v>
      </c>
      <c r="G16" s="83" t="s">
        <v>132</v>
      </c>
      <c r="H16" s="220" t="s">
        <v>140</v>
      </c>
    </row>
    <row r="17" spans="2:8" ht="31.5" x14ac:dyDescent="0.25">
      <c r="B17" s="221">
        <f t="shared" si="0"/>
        <v>11</v>
      </c>
      <c r="C17" s="193" t="s">
        <v>131</v>
      </c>
      <c r="D17" s="67" t="s">
        <v>43</v>
      </c>
      <c r="E17" s="114" t="s">
        <v>239</v>
      </c>
      <c r="F17" s="114" t="s">
        <v>245</v>
      </c>
      <c r="G17" s="83" t="s">
        <v>132</v>
      </c>
      <c r="H17" s="220" t="s">
        <v>148</v>
      </c>
    </row>
    <row r="18" spans="2:8" ht="32.25" customHeight="1" x14ac:dyDescent="0.25">
      <c r="B18" s="221">
        <f t="shared" si="0"/>
        <v>12</v>
      </c>
      <c r="C18" s="193" t="s">
        <v>130</v>
      </c>
      <c r="D18" s="67" t="s">
        <v>42</v>
      </c>
      <c r="E18" s="114" t="s">
        <v>239</v>
      </c>
      <c r="F18" s="114" t="s">
        <v>245</v>
      </c>
      <c r="G18" s="84" t="s">
        <v>143</v>
      </c>
      <c r="H18" s="222" t="s">
        <v>132</v>
      </c>
    </row>
    <row r="19" spans="2:8" ht="78.75" x14ac:dyDescent="0.25">
      <c r="B19" s="221">
        <f t="shared" si="0"/>
        <v>13</v>
      </c>
      <c r="C19" s="193" t="s">
        <v>130</v>
      </c>
      <c r="D19" s="67" t="s">
        <v>2</v>
      </c>
      <c r="E19" s="114" t="s">
        <v>239</v>
      </c>
      <c r="F19" s="114" t="s">
        <v>243</v>
      </c>
      <c r="G19" s="84" t="s">
        <v>143</v>
      </c>
      <c r="H19" s="222" t="s">
        <v>132</v>
      </c>
    </row>
    <row r="20" spans="2:8" ht="32.25" customHeight="1" x14ac:dyDescent="0.25">
      <c r="B20" s="221">
        <f t="shared" si="0"/>
        <v>14</v>
      </c>
      <c r="C20" s="193" t="s">
        <v>131</v>
      </c>
      <c r="D20" s="67" t="s">
        <v>10</v>
      </c>
      <c r="E20" s="114" t="s">
        <v>239</v>
      </c>
      <c r="F20" s="114" t="s">
        <v>243</v>
      </c>
      <c r="G20" s="83" t="s">
        <v>132</v>
      </c>
      <c r="H20" s="220" t="s">
        <v>141</v>
      </c>
    </row>
    <row r="21" spans="2:8" ht="31.5" x14ac:dyDescent="0.25">
      <c r="B21" s="221">
        <f t="shared" si="0"/>
        <v>15</v>
      </c>
      <c r="C21" s="193" t="s">
        <v>130</v>
      </c>
      <c r="D21" s="67" t="s">
        <v>3</v>
      </c>
      <c r="E21" s="114" t="s">
        <v>239</v>
      </c>
      <c r="F21" s="114" t="s">
        <v>241</v>
      </c>
      <c r="G21" s="84" t="s">
        <v>144</v>
      </c>
      <c r="H21" s="223" t="s">
        <v>132</v>
      </c>
    </row>
    <row r="22" spans="2:8" ht="36.75" customHeight="1" x14ac:dyDescent="0.25">
      <c r="B22" s="221">
        <f t="shared" si="0"/>
        <v>16</v>
      </c>
      <c r="C22" s="193" t="s">
        <v>130</v>
      </c>
      <c r="D22" s="67" t="s">
        <v>234</v>
      </c>
      <c r="E22" s="114" t="s">
        <v>239</v>
      </c>
      <c r="F22" s="114" t="s">
        <v>244</v>
      </c>
      <c r="G22" s="84" t="s">
        <v>145</v>
      </c>
      <c r="H22" s="223" t="s">
        <v>132</v>
      </c>
    </row>
    <row r="23" spans="2:8" ht="60" customHeight="1" x14ac:dyDescent="0.25">
      <c r="B23" s="221">
        <f t="shared" si="0"/>
        <v>17</v>
      </c>
      <c r="C23" s="193" t="s">
        <v>130</v>
      </c>
      <c r="D23" s="67" t="s">
        <v>106</v>
      </c>
      <c r="E23" s="114" t="s">
        <v>239</v>
      </c>
      <c r="F23" s="114" t="s">
        <v>244</v>
      </c>
      <c r="G23" s="84" t="s">
        <v>146</v>
      </c>
      <c r="H23" s="223" t="s">
        <v>132</v>
      </c>
    </row>
    <row r="24" spans="2:8" ht="60" customHeight="1" x14ac:dyDescent="0.25">
      <c r="B24" s="221">
        <f t="shared" si="0"/>
        <v>18</v>
      </c>
      <c r="C24" s="193" t="s">
        <v>130</v>
      </c>
      <c r="D24" s="67" t="s">
        <v>76</v>
      </c>
      <c r="E24" s="114" t="s">
        <v>239</v>
      </c>
      <c r="F24" s="114" t="s">
        <v>244</v>
      </c>
      <c r="G24" s="84" t="s">
        <v>146</v>
      </c>
      <c r="H24" s="223" t="s">
        <v>132</v>
      </c>
    </row>
    <row r="25" spans="2:8" ht="60" customHeight="1" x14ac:dyDescent="0.25">
      <c r="B25" s="221">
        <f t="shared" si="0"/>
        <v>19</v>
      </c>
      <c r="C25" s="193" t="s">
        <v>130</v>
      </c>
      <c r="D25" s="67" t="s">
        <v>45</v>
      </c>
      <c r="E25" s="114" t="s">
        <v>239</v>
      </c>
      <c r="F25" s="114" t="s">
        <v>245</v>
      </c>
      <c r="G25" s="84" t="s">
        <v>146</v>
      </c>
      <c r="H25" s="223" t="s">
        <v>132</v>
      </c>
    </row>
    <row r="26" spans="2:8" ht="35.25" customHeight="1" thickBot="1" x14ac:dyDescent="0.3">
      <c r="B26" s="224">
        <f t="shared" si="0"/>
        <v>20</v>
      </c>
      <c r="C26" s="225" t="s">
        <v>130</v>
      </c>
      <c r="D26" s="226" t="s">
        <v>253</v>
      </c>
      <c r="E26" s="227" t="s">
        <v>242</v>
      </c>
      <c r="F26" s="227" t="s">
        <v>243</v>
      </c>
      <c r="G26" s="228" t="s">
        <v>147</v>
      </c>
      <c r="H26" s="229" t="s">
        <v>132</v>
      </c>
    </row>
  </sheetData>
  <mergeCells count="8">
    <mergeCell ref="B4:H4"/>
    <mergeCell ref="C2:H2"/>
    <mergeCell ref="B5:B6"/>
    <mergeCell ref="C5:C6"/>
    <mergeCell ref="D5:D6"/>
    <mergeCell ref="G5:H5"/>
    <mergeCell ref="E5:E6"/>
    <mergeCell ref="F5:F6"/>
  </mergeCells>
  <conditionalFormatting sqref="C7:C26 H7:H20">
    <cfRule type="cellIs" dxfId="60" priority="7" operator="equal">
      <formula>"CAUSA"</formula>
    </cfRule>
  </conditionalFormatting>
  <conditionalFormatting sqref="C7:C26 H7:H20">
    <cfRule type="cellIs" dxfId="59" priority="5" operator="equal">
      <formula>"EVENTO"</formula>
    </cfRule>
  </conditionalFormatting>
  <dataValidations count="3">
    <dataValidation type="list" allowBlank="1" showInputMessage="1" showErrorMessage="1" sqref="C7:C26">
      <formula1>"EVENTO,CAUSA"</formula1>
    </dataValidation>
    <dataValidation type="list" allowBlank="1" showInputMessage="1" showErrorMessage="1" sqref="E7:E26">
      <formula1>"Genérico,Específico"</formula1>
    </dataValidation>
    <dataValidation type="list" allowBlank="1" showInputMessage="1" showErrorMessage="1" sqref="F7:F26">
      <formula1>"Tecnologia, Qualidade, Performance, Gerenciamento do projeto, Organizacionais, Externos"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B1:M27"/>
  <sheetViews>
    <sheetView showGridLines="0" zoomScale="70" zoomScaleNormal="70" workbookViewId="0">
      <pane xSplit="3" ySplit="7" topLeftCell="D8" activePane="bottomRight" state="frozen"/>
      <selection pane="topRight" activeCell="C1" sqref="C1"/>
      <selection pane="bottomLeft" activeCell="A4" sqref="A4"/>
      <selection pane="bottomRight" activeCell="G15" sqref="D15:G15"/>
    </sheetView>
  </sheetViews>
  <sheetFormatPr defaultRowHeight="15.75" x14ac:dyDescent="0.25"/>
  <cols>
    <col min="1" max="1" width="3.140625" customWidth="1"/>
    <col min="2" max="2" width="15.7109375" style="34" bestFit="1" customWidth="1"/>
    <col min="3" max="3" width="63.7109375" style="7" customWidth="1"/>
    <col min="4" max="4" width="14" style="16" customWidth="1"/>
    <col min="5" max="5" width="8.85546875" style="1" customWidth="1"/>
    <col min="6" max="6" width="15.42578125" style="20" bestFit="1" customWidth="1"/>
    <col min="7" max="7" width="7.5703125" style="2" customWidth="1"/>
    <col min="8" max="8" width="14.28515625" style="21" customWidth="1"/>
    <col min="9" max="9" width="7.7109375" style="1" customWidth="1"/>
    <col min="10" max="10" width="9.28515625" style="3" bestFit="1" customWidth="1"/>
    <col min="11" max="11" width="16.7109375" bestFit="1" customWidth="1"/>
  </cols>
  <sheetData>
    <row r="1" spans="2:13" ht="16.5" thickBot="1" x14ac:dyDescent="0.3"/>
    <row r="2" spans="2:13" ht="24" thickBot="1" x14ac:dyDescent="0.3">
      <c r="B2" s="162" t="s">
        <v>71</v>
      </c>
      <c r="C2" s="282" t="s">
        <v>268</v>
      </c>
      <c r="D2" s="283"/>
      <c r="E2" s="283"/>
      <c r="F2" s="283"/>
      <c r="G2" s="283"/>
      <c r="H2" s="283"/>
      <c r="I2" s="283"/>
      <c r="J2" s="283"/>
      <c r="K2" s="284"/>
    </row>
    <row r="3" spans="2:13" ht="24" thickBot="1" x14ac:dyDescent="0.3">
      <c r="B3" s="163" t="s">
        <v>72</v>
      </c>
      <c r="C3" s="282" t="s">
        <v>70</v>
      </c>
      <c r="D3" s="283"/>
      <c r="E3" s="283"/>
      <c r="F3" s="283"/>
      <c r="G3" s="283"/>
      <c r="H3" s="283"/>
      <c r="I3" s="283"/>
      <c r="J3" s="283"/>
      <c r="K3" s="284"/>
    </row>
    <row r="4" spans="2:13" ht="20.25" thickBot="1" x14ac:dyDescent="0.35">
      <c r="B4" s="280" t="s">
        <v>174</v>
      </c>
      <c r="C4" s="281"/>
      <c r="D4" s="281"/>
      <c r="E4" s="281"/>
      <c r="F4" s="281"/>
      <c r="G4" s="281"/>
      <c r="H4" s="281"/>
      <c r="I4" s="281"/>
      <c r="J4" s="281"/>
      <c r="K4" s="281"/>
    </row>
    <row r="5" spans="2:13" ht="21" x14ac:dyDescent="0.25">
      <c r="B5" s="285" t="s">
        <v>49</v>
      </c>
      <c r="C5" s="286"/>
      <c r="D5" s="289" t="s">
        <v>17</v>
      </c>
      <c r="E5" s="290"/>
      <c r="F5" s="289" t="s">
        <v>26</v>
      </c>
      <c r="G5" s="293"/>
      <c r="H5" s="293"/>
      <c r="I5" s="290"/>
      <c r="J5" s="277" t="s">
        <v>272</v>
      </c>
      <c r="K5" s="277" t="s">
        <v>160</v>
      </c>
    </row>
    <row r="6" spans="2:13" ht="26.25" x14ac:dyDescent="0.4">
      <c r="B6" s="287" t="s">
        <v>6</v>
      </c>
      <c r="C6" s="288"/>
      <c r="D6" s="291"/>
      <c r="E6" s="292"/>
      <c r="F6" s="291"/>
      <c r="G6" s="294"/>
      <c r="H6" s="294"/>
      <c r="I6" s="292"/>
      <c r="J6" s="278"/>
      <c r="K6" s="278"/>
    </row>
    <row r="7" spans="2:13" ht="16.5" thickBot="1" x14ac:dyDescent="0.3">
      <c r="B7" s="232" t="s">
        <v>247</v>
      </c>
      <c r="C7" s="233" t="s">
        <v>0</v>
      </c>
      <c r="D7" s="234" t="s">
        <v>4</v>
      </c>
      <c r="E7" s="233" t="s">
        <v>9</v>
      </c>
      <c r="F7" s="235" t="s">
        <v>5</v>
      </c>
      <c r="G7" s="236" t="s">
        <v>11</v>
      </c>
      <c r="H7" s="234" t="s">
        <v>6</v>
      </c>
      <c r="I7" s="233" t="s">
        <v>12</v>
      </c>
      <c r="J7" s="237" t="s">
        <v>13</v>
      </c>
      <c r="K7" s="279"/>
    </row>
    <row r="8" spans="2:13" ht="31.5" x14ac:dyDescent="0.25">
      <c r="B8" s="37">
        <f>Identificar!B7</f>
        <v>1</v>
      </c>
      <c r="C8" s="67" t="str">
        <f>Identificar!D7</f>
        <v>Formalização de abertura do projeto realizada após inicio do planejamento.</v>
      </c>
      <c r="D8" s="38" t="s">
        <v>57</v>
      </c>
      <c r="E8" s="57">
        <f>IFERROR(VLOOKUP(Tabela2[[#This Row],[P]], Indicadores!$B$4:$C$9, 2, FALSE ),0)</f>
        <v>0.9</v>
      </c>
      <c r="F8" s="38" t="s">
        <v>31</v>
      </c>
      <c r="G8" s="58">
        <f>IFERROR(VLOOKUP(Tabela2[[#This Row],[Custo]], Indicadores!$B$13:$C$18, 2, FALSE ) * (1+IF($B$6="Custo",Indicadores!$D$21,0)),0)</f>
        <v>3</v>
      </c>
      <c r="H8" s="38" t="s">
        <v>33</v>
      </c>
      <c r="I8" s="58">
        <f>IFERROR(VLOOKUP(Tabela2[[#This Row],[Prazo]], Indicadores!$B$13:$C$18, 2, FALSE ) * (1+IF($B$6="Prazo",Indicadores!$D$21,0)),0)</f>
        <v>3.2</v>
      </c>
      <c r="J8" s="178">
        <f>(Tabela2[[#This Row],[IC]]+Tabela2[[#This Row],[IP]])*(Tabela2[[#This Row],[Prob]])</f>
        <v>5.58</v>
      </c>
      <c r="K8" s="175"/>
    </row>
    <row r="9" spans="2:13" ht="18.75" x14ac:dyDescent="0.25">
      <c r="B9" s="37">
        <f>Identificar!B8</f>
        <v>2</v>
      </c>
      <c r="C9" s="67" t="str">
        <f>Identificar!D8</f>
        <v>Concorrência deste projeto com outros projetos.</v>
      </c>
      <c r="D9" s="38" t="s">
        <v>58</v>
      </c>
      <c r="E9" s="57">
        <f>IFERROR(VLOOKUP(Tabela2[[#This Row],[P]], Indicadores!$B$4:$C$9, 2, FALSE ),0)</f>
        <v>0.7</v>
      </c>
      <c r="F9" s="38" t="s">
        <v>35</v>
      </c>
      <c r="G9" s="58">
        <f>IFERROR(VLOOKUP(Tabela2[[#This Row],[Custo]], Indicadores!$B$13:$C$18, 2, FALSE ) * (1+IF($B$6="Custo",Indicadores!$D$21,0)),0)</f>
        <v>1</v>
      </c>
      <c r="H9" s="38" t="s">
        <v>29</v>
      </c>
      <c r="I9" s="58">
        <f>IFERROR(VLOOKUP(Tabela2[[#This Row],[Prazo]], Indicadores!$B$13:$C$18, 2, FALSE ) * (1+IF($B$6="Prazo",Indicadores!$D$21,0)),0)</f>
        <v>6.4</v>
      </c>
      <c r="J9" s="178">
        <f>(Tabela2[[#This Row],[IC]]+Tabela2[[#This Row],[IP]])*(Tabela2[[#This Row],[Prob]])</f>
        <v>5.18</v>
      </c>
      <c r="K9" s="176"/>
      <c r="M9" s="4"/>
    </row>
    <row r="10" spans="2:13" ht="18.75" x14ac:dyDescent="0.25">
      <c r="B10" s="37">
        <f>Identificar!B9</f>
        <v>3</v>
      </c>
      <c r="C10" s="67" t="str">
        <f>Identificar!D9</f>
        <v>Dificuldade na elaboração das especificações de negócio.</v>
      </c>
      <c r="D10" s="38" t="s">
        <v>58</v>
      </c>
      <c r="E10" s="57">
        <f>IFERROR(VLOOKUP(Tabela2[[#This Row],[P]], Indicadores!$B$4:$C$9, 2, FALSE ),0)</f>
        <v>0.7</v>
      </c>
      <c r="F10" s="38" t="s">
        <v>27</v>
      </c>
      <c r="G10" s="58">
        <f>IFERROR(VLOOKUP(Tabela2[[#This Row],[Custo]], Indicadores!$B$13:$C$18, 2, FALSE ) * (1+IF($B$6="Custo",Indicadores!$D$21,0)),0)</f>
        <v>5</v>
      </c>
      <c r="H10" s="38" t="s">
        <v>33</v>
      </c>
      <c r="I10" s="58">
        <f>IFERROR(VLOOKUP(Tabela2[[#This Row],[Prazo]], Indicadores!$B$13:$C$18, 2, FALSE ) * (1+IF($B$6="Prazo",Indicadores!$D$21,0)),0)</f>
        <v>3.2</v>
      </c>
      <c r="J10" s="178">
        <f>(Tabela2[[#This Row],[IC]]+Tabela2[[#This Row],[IP]])*(Tabela2[[#This Row],[Prob]])</f>
        <v>5.7399999999999993</v>
      </c>
      <c r="K10" s="176"/>
    </row>
    <row r="11" spans="2:13" ht="18.75" x14ac:dyDescent="0.25">
      <c r="B11" s="37">
        <f>Identificar!B10</f>
        <v>4</v>
      </c>
      <c r="C11" s="67" t="str">
        <f>Identificar!D10</f>
        <v>Aprovação Card Desing e modelos de cartas.</v>
      </c>
      <c r="D11" s="38" t="s">
        <v>59</v>
      </c>
      <c r="E11" s="57">
        <f>IFERROR(VLOOKUP(Tabela2[[#This Row],[P]], Indicadores!$B$4:$C$9, 2, FALSE ),0)</f>
        <v>0.5</v>
      </c>
      <c r="F11" s="38" t="s">
        <v>33</v>
      </c>
      <c r="G11" s="58">
        <f>IFERROR(VLOOKUP(Tabela2[[#This Row],[Custo]], Indicadores!$B$13:$C$18, 2, FALSE ) * (1+IF($B$6="Custo",Indicadores!$D$21,0)),0)</f>
        <v>2</v>
      </c>
      <c r="H11" s="38" t="s">
        <v>27</v>
      </c>
      <c r="I11" s="58">
        <f>IFERROR(VLOOKUP(Tabela2[[#This Row],[Prazo]], Indicadores!$B$13:$C$18, 2, FALSE ) * (1+IF($B$6="Prazo",Indicadores!$D$21,0)),0)</f>
        <v>8</v>
      </c>
      <c r="J11" s="178">
        <f>(Tabela2[[#This Row],[IC]]+Tabela2[[#This Row],[IP]])*(Tabela2[[#This Row],[Prob]])</f>
        <v>5</v>
      </c>
      <c r="K11" s="176"/>
    </row>
    <row r="12" spans="2:13" ht="18.75" x14ac:dyDescent="0.25">
      <c r="B12" s="37">
        <f>Identificar!B11</f>
        <v>5</v>
      </c>
      <c r="C12" s="67" t="str">
        <f>Identificar!D11</f>
        <v>Certificação chip junto a bandeira MasterCard.</v>
      </c>
      <c r="D12" s="38" t="s">
        <v>59</v>
      </c>
      <c r="E12" s="57">
        <f>IFERROR(VLOOKUP(Tabela2[[#This Row],[P]], Indicadores!$B$4:$C$9, 2, FALSE ),0)</f>
        <v>0.5</v>
      </c>
      <c r="F12" s="38" t="s">
        <v>31</v>
      </c>
      <c r="G12" s="58">
        <f>IFERROR(VLOOKUP(Tabela2[[#This Row],[Custo]], Indicadores!$B$13:$C$18, 2, FALSE ) * (1+IF($B$6="Custo",Indicadores!$D$21,0)),0)</f>
        <v>3</v>
      </c>
      <c r="H12" s="38" t="s">
        <v>27</v>
      </c>
      <c r="I12" s="58">
        <f>IFERROR(VLOOKUP(Tabela2[[#This Row],[Prazo]], Indicadores!$B$13:$C$18, 2, FALSE ) * (1+IF($B$6="Prazo",Indicadores!$D$21,0)),0)</f>
        <v>8</v>
      </c>
      <c r="J12" s="178">
        <f>(Tabela2[[#This Row],[IC]]+Tabela2[[#This Row],[IP]])*(Tabela2[[#This Row],[Prob]])</f>
        <v>5.5</v>
      </c>
      <c r="K12" s="176"/>
    </row>
    <row r="13" spans="2:13" ht="31.5" x14ac:dyDescent="0.25">
      <c r="B13" s="37">
        <f>Identificar!B12</f>
        <v>6</v>
      </c>
      <c r="C13" s="67" t="str">
        <f>Identificar!D12</f>
        <v>Complexidade nas entregas de fornecedores externos (IBM / Accenture / Totvs / Tivit / CSU).</v>
      </c>
      <c r="D13" s="38" t="s">
        <v>59</v>
      </c>
      <c r="E13" s="57">
        <f>IFERROR(VLOOKUP(Tabela2[[#This Row],[P]], Indicadores!$B$4:$C$9, 2, FALSE ),0)</f>
        <v>0.5</v>
      </c>
      <c r="F13" s="65" t="s">
        <v>27</v>
      </c>
      <c r="G13" s="58">
        <f>IFERROR(VLOOKUP(Tabela2[[#This Row],[Custo]], Indicadores!$B$13:$C$18, 2, FALSE ) * (1+IF($B$6="Custo",Indicadores!$D$21,0)),0)</f>
        <v>5</v>
      </c>
      <c r="H13" s="38" t="s">
        <v>33</v>
      </c>
      <c r="I13" s="58">
        <f>IFERROR(VLOOKUP(Tabela2[[#This Row],[Prazo]], Indicadores!$B$13:$C$18, 2, FALSE ) * (1+IF($B$6="Prazo",Indicadores!$D$21,0)),0)</f>
        <v>3.2</v>
      </c>
      <c r="J13" s="178">
        <f>(Tabela2[[#This Row],[IC]]+Tabela2[[#This Row],[IP]])*(Tabela2[[#This Row],[Prob]])</f>
        <v>4.0999999999999996</v>
      </c>
      <c r="K13" s="176"/>
    </row>
    <row r="14" spans="2:13" ht="31.5" x14ac:dyDescent="0.25">
      <c r="B14" s="37">
        <f>Identificar!B13</f>
        <v>7</v>
      </c>
      <c r="C14" s="67" t="str">
        <f>Identificar!D13</f>
        <v>Alterações no processo de integração TERMINAL FINANCEIRO - Atraso na entrega da integração com serviços.</v>
      </c>
      <c r="D14" s="38" t="s">
        <v>58</v>
      </c>
      <c r="E14" s="57">
        <f>IFERROR(VLOOKUP(Tabela2[[#This Row],[P]], Indicadores!$B$4:$C$9, 2, FALSE ),0)</f>
        <v>0.7</v>
      </c>
      <c r="F14" s="61" t="s">
        <v>31</v>
      </c>
      <c r="G14" s="62">
        <f>IFERROR(VLOOKUP(Tabela2[[#This Row],[Custo]], Indicadores!$B$13:$C$18, 2, FALSE ) * (1+IF($B$6="Custo",Indicadores!$D$21,0)),0)</f>
        <v>3</v>
      </c>
      <c r="H14" s="38" t="s">
        <v>29</v>
      </c>
      <c r="I14" s="58">
        <f>IFERROR(VLOOKUP(Tabela2[[#This Row],[Prazo]], Indicadores!$B$13:$C$18, 2, FALSE ) * (1+IF($B$6="Prazo",Indicadores!$D$21,0)),0)</f>
        <v>6.4</v>
      </c>
      <c r="J14" s="178">
        <f>(Tabela2[[#This Row],[IC]]+Tabela2[[#This Row],[IP]])*(Tabela2[[#This Row],[Prob]])</f>
        <v>6.58</v>
      </c>
      <c r="K14" s="176"/>
    </row>
    <row r="15" spans="2:13" ht="31.5" x14ac:dyDescent="0.25">
      <c r="B15" s="37">
        <f>Identificar!B14</f>
        <v>8</v>
      </c>
      <c r="C15" s="67" t="str">
        <f>Identificar!D14</f>
        <v>Complexidade nas entregas de fornecedores internos técnicos (Arquitetura / Ambientes / Comunicação).</v>
      </c>
      <c r="D15" s="38" t="s">
        <v>57</v>
      </c>
      <c r="E15" s="57">
        <f>IFERROR(VLOOKUP(Tabela2[[#This Row],[P]], Indicadores!$B$4:$C$9, 2, FALSE ),0)</f>
        <v>0.9</v>
      </c>
      <c r="F15" s="38" t="s">
        <v>31</v>
      </c>
      <c r="G15" s="58">
        <f>IFERROR(VLOOKUP(Tabela2[[#This Row],[Custo]], Indicadores!$B$13:$C$18, 2, FALSE ) * (1+IF($B$6="Custo",Indicadores!$D$21,0)),0)</f>
        <v>3</v>
      </c>
      <c r="H15" s="38" t="s">
        <v>31</v>
      </c>
      <c r="I15" s="58">
        <f>IFERROR(VLOOKUP(Tabela2[[#This Row],[Prazo]], Indicadores!$B$13:$C$18, 2, FALSE ) * (1+IF($B$6="Prazo",Indicadores!$D$21,0)),0)</f>
        <v>4.8000000000000007</v>
      </c>
      <c r="J15" s="178">
        <f>(Tabela2[[#This Row],[IC]]+Tabela2[[#This Row],[IP]])*(Tabela2[[#This Row],[Prob]])</f>
        <v>7.0200000000000005</v>
      </c>
      <c r="K15" s="176"/>
    </row>
    <row r="16" spans="2:13" ht="18.75" x14ac:dyDescent="0.25">
      <c r="B16" s="37">
        <f>Identificar!B15</f>
        <v>9</v>
      </c>
      <c r="C16" s="67" t="str">
        <f>Identificar!D15</f>
        <v>Alterações no escopo do projeto.</v>
      </c>
      <c r="D16" s="38" t="s">
        <v>57</v>
      </c>
      <c r="E16" s="57">
        <f>IFERROR(VLOOKUP(Tabela2[[#This Row],[P]], Indicadores!$B$4:$C$9, 2, FALSE ),0)</f>
        <v>0.9</v>
      </c>
      <c r="F16" s="38" t="s">
        <v>29</v>
      </c>
      <c r="G16" s="58">
        <f>IFERROR(VLOOKUP(Tabela2[[#This Row],[Custo]], Indicadores!$B$13:$C$18, 2, FALSE ) * (1+IF($B$6="Custo",Indicadores!$D$21,0)),0)</f>
        <v>4</v>
      </c>
      <c r="H16" s="38" t="s">
        <v>29</v>
      </c>
      <c r="I16" s="58">
        <f>IFERROR(VLOOKUP(Tabela2[[#This Row],[Prazo]], Indicadores!$B$13:$C$18, 2, FALSE ) * (1+IF($B$6="Prazo",Indicadores!$D$21,0)),0)</f>
        <v>6.4</v>
      </c>
      <c r="J16" s="178">
        <f>(Tabela2[[#This Row],[IC]]+Tabela2[[#This Row],[IP]])*(Tabela2[[#This Row],[Prob]])</f>
        <v>9.3600000000000012</v>
      </c>
      <c r="K16" s="176"/>
    </row>
    <row r="17" spans="2:11" ht="31.5" x14ac:dyDescent="0.25">
      <c r="B17" s="37">
        <f>Identificar!B16</f>
        <v>10</v>
      </c>
      <c r="C17" s="67" t="str">
        <f>Identificar!D16</f>
        <v>Concorrências dos recursos do projeto com outros projetos e atividades do dia-a-dia.</v>
      </c>
      <c r="D17" s="38" t="s">
        <v>58</v>
      </c>
      <c r="E17" s="57">
        <f>IFERROR(VLOOKUP(Tabela2[[#This Row],[P]], Indicadores!$B$4:$C$9, 2, FALSE ),0)</f>
        <v>0.7</v>
      </c>
      <c r="F17" s="38" t="s">
        <v>33</v>
      </c>
      <c r="G17" s="58">
        <f>IFERROR(VLOOKUP(Tabela2[[#This Row],[Custo]], Indicadores!$B$13:$C$18, 2, FALSE ) * (1+IF($B$6="Custo",Indicadores!$D$21,0)),0)</f>
        <v>2</v>
      </c>
      <c r="H17" s="38" t="s">
        <v>31</v>
      </c>
      <c r="I17" s="58">
        <f>IFERROR(VLOOKUP(Tabela2[[#This Row],[Prazo]], Indicadores!$B$13:$C$18, 2, FALSE ) * (1+IF($B$6="Prazo",Indicadores!$D$21,0)),0)</f>
        <v>4.8000000000000007</v>
      </c>
      <c r="J17" s="178">
        <f>(Tabela2[[#This Row],[IC]]+Tabela2[[#This Row],[IP]])*(Tabela2[[#This Row],[Prob]])</f>
        <v>4.76</v>
      </c>
      <c r="K17" s="176"/>
    </row>
    <row r="18" spans="2:11" ht="31.5" x14ac:dyDescent="0.25">
      <c r="B18" s="37">
        <f>Identificar!B17</f>
        <v>11</v>
      </c>
      <c r="C18" s="67" t="str">
        <f>Identificar!D17</f>
        <v>Não envolvimento efetivo dos patrocinadores e stakeholders no projeto.</v>
      </c>
      <c r="D18" s="38" t="s">
        <v>60</v>
      </c>
      <c r="E18" s="57">
        <f>IFERROR(VLOOKUP(Tabela2[[#This Row],[P]], Indicadores!$B$4:$C$9, 2, FALSE ),0)</f>
        <v>0.32</v>
      </c>
      <c r="F18" s="38" t="s">
        <v>31</v>
      </c>
      <c r="G18" s="58">
        <f>IFERROR(VLOOKUP(Tabela2[[#This Row],[Custo]], Indicadores!$B$13:$C$18, 2, FALSE ) * (1+IF($B$6="Custo",Indicadores!$D$21,0)),0)</f>
        <v>3</v>
      </c>
      <c r="H18" s="38" t="s">
        <v>31</v>
      </c>
      <c r="I18" s="58">
        <f>IFERROR(VLOOKUP(Tabela2[[#This Row],[Prazo]], Indicadores!$B$13:$C$18, 2, FALSE ) * (1+IF($B$6="Prazo",Indicadores!$D$21,0)),0)</f>
        <v>4.8000000000000007</v>
      </c>
      <c r="J18" s="178">
        <f>(Tabela2[[#This Row],[IC]]+Tabela2[[#This Row],[IP]])*(Tabela2[[#This Row],[Prob]])</f>
        <v>2.4960000000000004</v>
      </c>
      <c r="K18" s="176"/>
    </row>
    <row r="19" spans="2:11" ht="31.5" x14ac:dyDescent="0.25">
      <c r="B19" s="37">
        <f>Identificar!B18</f>
        <v>12</v>
      </c>
      <c r="C19" s="67" t="str">
        <f>Identificar!D18</f>
        <v>Não cumprimento dos prazos de entregas definidos no cronograma do projeto.</v>
      </c>
      <c r="D19" s="38" t="s">
        <v>59</v>
      </c>
      <c r="E19" s="57">
        <f>IFERROR(VLOOKUP(Tabela2[[#This Row],[P]], Indicadores!$B$4:$C$9, 2, FALSE ),0)</f>
        <v>0.5</v>
      </c>
      <c r="F19" s="38" t="s">
        <v>33</v>
      </c>
      <c r="G19" s="58">
        <f>IFERROR(VLOOKUP(Tabela2[[#This Row],[Custo]], Indicadores!$B$13:$C$18, 2, FALSE ) * (1+IF($B$6="Custo",Indicadores!$D$21,0)),0)</f>
        <v>2</v>
      </c>
      <c r="H19" s="38" t="s">
        <v>29</v>
      </c>
      <c r="I19" s="58">
        <f>IFERROR(VLOOKUP(Tabela2[[#This Row],[Prazo]], Indicadores!$B$13:$C$18, 2, FALSE ) * (1+IF($B$6="Prazo",Indicadores!$D$21,0)),0)</f>
        <v>6.4</v>
      </c>
      <c r="J19" s="178">
        <f>(Tabela2[[#This Row],[IC]]+Tabela2[[#This Row],[IP]])*(Tabela2[[#This Row],[Prob]])</f>
        <v>4.2</v>
      </c>
      <c r="K19" s="176"/>
    </row>
    <row r="20" spans="2:11" ht="78.75" x14ac:dyDescent="0.25">
      <c r="B20" s="37">
        <f>Identificar!B19</f>
        <v>13</v>
      </c>
      <c r="C20" s="67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D20" s="38" t="s">
        <v>58</v>
      </c>
      <c r="E20" s="57">
        <f>IFERROR(VLOOKUP(Tabela2[[#This Row],[P]], Indicadores!$B$4:$C$9, 2, FALSE ),0)</f>
        <v>0.7</v>
      </c>
      <c r="F20" s="38" t="s">
        <v>33</v>
      </c>
      <c r="G20" s="58">
        <f>IFERROR(VLOOKUP(Tabela2[[#This Row],[Custo]], Indicadores!$B$13:$C$18, 2, FALSE ) * (1+IF($B$6="Custo",Indicadores!$D$21,0)),0)</f>
        <v>2</v>
      </c>
      <c r="H20" s="38" t="s">
        <v>31</v>
      </c>
      <c r="I20" s="58">
        <f>IFERROR(VLOOKUP(Tabela2[[#This Row],[Prazo]], Indicadores!$B$13:$C$18, 2, FALSE ) * (1+IF($B$6="Prazo",Indicadores!$D$21,0)),0)</f>
        <v>4.8000000000000007</v>
      </c>
      <c r="J20" s="178">
        <f>(Tabela2[[#This Row],[IC]]+Tabela2[[#This Row],[IP]])*(Tabela2[[#This Row],[Prob]])</f>
        <v>4.76</v>
      </c>
      <c r="K20" s="176"/>
    </row>
    <row r="21" spans="2:11" ht="47.25" x14ac:dyDescent="0.25">
      <c r="B21" s="37">
        <f>Identificar!B20</f>
        <v>14</v>
      </c>
      <c r="C21" s="67" t="str">
        <f>Identificar!D20</f>
        <v>Alteração de processos operacionais vitais para a continuidade de negócio e de back-office (processamento e conciliação dos sistemas).</v>
      </c>
      <c r="D21" s="38" t="s">
        <v>57</v>
      </c>
      <c r="E21" s="57">
        <f>IFERROR(VLOOKUP(Tabela2[[#This Row],[P]], Indicadores!$B$4:$C$9, 2, FALSE ),0)</f>
        <v>0.9</v>
      </c>
      <c r="F21" s="38" t="s">
        <v>40</v>
      </c>
      <c r="G21" s="58">
        <f>IFERROR(VLOOKUP(Tabela2[[#This Row],[Custo]], Indicadores!$B$13:$C$18, 2, FALSE ) * (1+IF($B$6="Custo",Indicadores!$D$21,0)),0)</f>
        <v>0</v>
      </c>
      <c r="H21" s="38" t="s">
        <v>31</v>
      </c>
      <c r="I21" s="58">
        <f>IFERROR(VLOOKUP(Tabela2[[#This Row],[Prazo]], Indicadores!$B$13:$C$18, 2, FALSE ) * (1+IF($B$6="Prazo",Indicadores!$D$21,0)),0)</f>
        <v>4.8000000000000007</v>
      </c>
      <c r="J21" s="178">
        <f>(Tabela2[[#This Row],[IC]]+Tabela2[[#This Row],[IP]])*(Tabela2[[#This Row],[Prob]])</f>
        <v>4.3200000000000012</v>
      </c>
      <c r="K21" s="176"/>
    </row>
    <row r="22" spans="2:11" ht="31.5" x14ac:dyDescent="0.25">
      <c r="B22" s="37">
        <f>Identificar!B21</f>
        <v>15</v>
      </c>
      <c r="C22" s="67" t="str">
        <f>Identificar!D21</f>
        <v>Complexidade no desenvolvimento dos novos serviços no sistema.</v>
      </c>
      <c r="D22" s="38" t="s">
        <v>58</v>
      </c>
      <c r="E22" s="57">
        <f>IFERROR(VLOOKUP(Tabela2[[#This Row],[P]], Indicadores!$B$4:$C$9, 2, FALSE ),0)</f>
        <v>0.7</v>
      </c>
      <c r="F22" s="38" t="s">
        <v>31</v>
      </c>
      <c r="G22" s="58">
        <f>IFERROR(VLOOKUP(Tabela2[[#This Row],[Custo]], Indicadores!$B$13:$C$18, 2, FALSE ) * (1+IF($B$6="Custo",Indicadores!$D$21,0)),0)</f>
        <v>3</v>
      </c>
      <c r="H22" s="38" t="s">
        <v>31</v>
      </c>
      <c r="I22" s="58">
        <f>IFERROR(VLOOKUP(Tabela2[[#This Row],[Prazo]], Indicadores!$B$13:$C$18, 2, FALSE ) * (1+IF($B$6="Prazo",Indicadores!$D$21,0)),0)</f>
        <v>4.8000000000000007</v>
      </c>
      <c r="J22" s="178">
        <f>(Tabela2[[#This Row],[IC]]+Tabela2[[#This Row],[IP]])*(Tabela2[[#This Row],[Prob]])</f>
        <v>5.46</v>
      </c>
      <c r="K22" s="176"/>
    </row>
    <row r="23" spans="2:11" ht="31.5" x14ac:dyDescent="0.25">
      <c r="B23" s="37">
        <f>Identificar!B22</f>
        <v>16</v>
      </c>
      <c r="C23" s="67" t="str">
        <f>Identificar!D22</f>
        <v>Falta de recursos para realização do processo de homologação por parte da área de Qualidade</v>
      </c>
      <c r="D23" s="38" t="s">
        <v>58</v>
      </c>
      <c r="E23" s="57">
        <f>IFERROR(VLOOKUP(Tabela2[[#This Row],[P]], Indicadores!$B$4:$C$9, 2, FALSE ),0)</f>
        <v>0.7</v>
      </c>
      <c r="F23" s="38" t="s">
        <v>31</v>
      </c>
      <c r="G23" s="58">
        <f>IFERROR(VLOOKUP(Tabela2[[#This Row],[Custo]], Indicadores!$B$13:$C$18, 2, FALSE ) * (1+IF($B$6="Custo",Indicadores!$D$21,0)),0)</f>
        <v>3</v>
      </c>
      <c r="H23" s="38" t="s">
        <v>31</v>
      </c>
      <c r="I23" s="58">
        <f>IFERROR(VLOOKUP(Tabela2[[#This Row],[Prazo]], Indicadores!$B$13:$C$18, 2, FALSE ) * (1+IF($B$6="Prazo",Indicadores!$D$21,0)),0)</f>
        <v>4.8000000000000007</v>
      </c>
      <c r="J23" s="178">
        <f>(Tabela2[[#This Row],[IC]]+Tabela2[[#This Row],[IP]])*(Tabela2[[#This Row],[Prob]])</f>
        <v>5.46</v>
      </c>
      <c r="K23" s="176"/>
    </row>
    <row r="24" spans="2:11" ht="31.5" x14ac:dyDescent="0.25">
      <c r="B24" s="37">
        <f>Identificar!B23</f>
        <v>17</v>
      </c>
      <c r="C24" s="67" t="str">
        <f>Identificar!D23</f>
        <v>Falha no detalhamento (densidade) da especificação funcional e artefatos acessórios.</v>
      </c>
      <c r="D24" s="38" t="s">
        <v>59</v>
      </c>
      <c r="E24" s="57">
        <f>IFERROR(VLOOKUP(Tabela2[[#This Row],[P]], Indicadores!$B$4:$C$9, 2, FALSE ),0)</f>
        <v>0.5</v>
      </c>
      <c r="F24" s="38" t="s">
        <v>31</v>
      </c>
      <c r="G24" s="58">
        <f>IFERROR(VLOOKUP(Tabela2[[#This Row],[Custo]], Indicadores!$B$13:$C$18, 2, FALSE ) * (1+IF($B$6="Custo",Indicadores!$D$21,0)),0)</f>
        <v>3</v>
      </c>
      <c r="H24" s="38" t="s">
        <v>31</v>
      </c>
      <c r="I24" s="58">
        <f>IFERROR(VLOOKUP(Tabela2[[#This Row],[Prazo]], Indicadores!$B$13:$C$18, 2, FALSE ) * (1+IF($B$6="Prazo",Indicadores!$D$21,0)),0)</f>
        <v>4.8000000000000007</v>
      </c>
      <c r="J24" s="178">
        <f>(Tabela2[[#This Row],[IC]]+Tabela2[[#This Row],[IP]])*(Tabela2[[#This Row],[Prob]])</f>
        <v>3.9000000000000004</v>
      </c>
      <c r="K24" s="176"/>
    </row>
    <row r="25" spans="2:11" ht="31.5" x14ac:dyDescent="0.25">
      <c r="B25" s="37">
        <f>Identificar!B24</f>
        <v>18</v>
      </c>
      <c r="C25" s="67" t="str">
        <f>Identificar!D24</f>
        <v>Qualidade nas entregas dos provedores pode comprometer cronograma.</v>
      </c>
      <c r="D25" s="38" t="s">
        <v>60</v>
      </c>
      <c r="E25" s="63">
        <f>IFERROR(VLOOKUP(Tabela2[[#This Row],[P]], Indicadores!$B$4:$C$9, 2, FALSE ),0)</f>
        <v>0.32</v>
      </c>
      <c r="F25" s="38" t="s">
        <v>31</v>
      </c>
      <c r="G25" s="62">
        <f>IFERROR(VLOOKUP(Tabela2[[#This Row],[Custo]], Indicadores!$B$13:$C$18, 2, FALSE ) * (1+IF($B$6="Custo",Indicadores!$D$21,0)),0)</f>
        <v>3</v>
      </c>
      <c r="H25" s="38" t="s">
        <v>31</v>
      </c>
      <c r="I25" s="58">
        <f>IFERROR(VLOOKUP(Tabela2[[#This Row],[Prazo]], Indicadores!$B$13:$C$18, 2, FALSE ) * (1+IF($B$6="Prazo",Indicadores!$D$21,0)),0)</f>
        <v>4.8000000000000007</v>
      </c>
      <c r="J25" s="178">
        <f>(Tabela2[[#This Row],[IC]]+Tabela2[[#This Row],[IP]])*(Tabela2[[#This Row],[Prob]])</f>
        <v>2.4960000000000004</v>
      </c>
      <c r="K25" s="176"/>
    </row>
    <row r="26" spans="2:11" ht="18.75" x14ac:dyDescent="0.25">
      <c r="B26" s="37">
        <f>Identificar!B25</f>
        <v>19</v>
      </c>
      <c r="C26" s="67" t="str">
        <f>Identificar!D25</f>
        <v>Não conformidade do sistema com relação ao escopo do projeto.</v>
      </c>
      <c r="D26" s="38" t="s">
        <v>59</v>
      </c>
      <c r="E26" s="63">
        <f>IFERROR(VLOOKUP(Tabela2[[#This Row],[P]], Indicadores!$B$4:$C$9, 2, FALSE ),0)</f>
        <v>0.5</v>
      </c>
      <c r="F26" s="38" t="s">
        <v>31</v>
      </c>
      <c r="G26" s="62">
        <f>IFERROR(VLOOKUP(Tabela2[[#This Row],[Custo]], Indicadores!$B$13:$C$18, 2, FALSE ) * (1+IF($B$6="Custo",Indicadores!$D$21,0)),0)</f>
        <v>3</v>
      </c>
      <c r="H26" s="38" t="s">
        <v>31</v>
      </c>
      <c r="I26" s="58">
        <f>IFERROR(VLOOKUP(Tabela2[[#This Row],[Prazo]], Indicadores!$B$13:$C$18, 2, FALSE ) * (1+IF($B$6="Prazo",Indicadores!$D$21,0)),0)</f>
        <v>4.8000000000000007</v>
      </c>
      <c r="J26" s="178">
        <f>(Tabela2[[#This Row],[IC]]+Tabela2[[#This Row],[IP]])*(Tabela2[[#This Row],[Prob]])</f>
        <v>3.9000000000000004</v>
      </c>
      <c r="K26" s="176"/>
    </row>
    <row r="27" spans="2:11" ht="19.5" thickBot="1" x14ac:dyDescent="0.3">
      <c r="B27" s="37">
        <f>Identificar!B26</f>
        <v>20</v>
      </c>
      <c r="C27" s="67" t="str">
        <f>Identificar!D26</f>
        <v>Inclusão de novos produtos no escopo do projeto .</v>
      </c>
      <c r="D27" s="38" t="s">
        <v>59</v>
      </c>
      <c r="E27" s="63">
        <f>IFERROR(VLOOKUP(Tabela2[[#This Row],[P]], Indicadores!$B$4:$C$9, 2, FALSE ),0)</f>
        <v>0.5</v>
      </c>
      <c r="F27" s="38" t="s">
        <v>27</v>
      </c>
      <c r="G27" s="62">
        <f>IFERROR(VLOOKUP(Tabela2[[#This Row],[Custo]], Indicadores!$B$13:$C$18, 2, FALSE ) * (1+IF($B$6="Custo",Indicadores!$D$21,0)),0)</f>
        <v>5</v>
      </c>
      <c r="H27" s="38" t="s">
        <v>29</v>
      </c>
      <c r="I27" s="58">
        <f>IFERROR(VLOOKUP(Tabela2[[#This Row],[Prazo]], Indicadores!$B$13:$C$18, 2, FALSE ) * (1+IF($B$6="Prazo",Indicadores!$D$21,0)),0)</f>
        <v>6.4</v>
      </c>
      <c r="J27" s="178">
        <f>(Tabela2[[#This Row],[IC]]+Tabela2[[#This Row],[IP]])*(Tabela2[[#This Row],[Prob]])</f>
        <v>5.7</v>
      </c>
      <c r="K27" s="177"/>
    </row>
  </sheetData>
  <mergeCells count="9">
    <mergeCell ref="K5:K7"/>
    <mergeCell ref="B4:K4"/>
    <mergeCell ref="C2:K2"/>
    <mergeCell ref="C3:K3"/>
    <mergeCell ref="B5:C5"/>
    <mergeCell ref="B6:C6"/>
    <mergeCell ref="D5:E6"/>
    <mergeCell ref="F5:I6"/>
    <mergeCell ref="J5:J6"/>
  </mergeCells>
  <conditionalFormatting sqref="J8:J27">
    <cfRule type="colorScale" priority="11">
      <colorScale>
        <cfvo type="num" val="1"/>
        <cfvo type="num" val="4"/>
        <cfvo type="num" val="7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D8:D27">
      <formula1>"Muito Alta,Alta,Média,Baixa,Muito Baixa,Não definido"</formula1>
    </dataValidation>
    <dataValidation type="list" allowBlank="1" showInputMessage="1" showErrorMessage="1" sqref="H8:H27 F8:F27">
      <formula1>"Crítico,Extremo,Importante,Moderado,Desprezível,Nulo"</formula1>
    </dataValidation>
    <dataValidation type="list" allowBlank="1" showInputMessage="1" showErrorMessage="1" sqref="B6:C6">
      <formula1>"Custo,Prazo"</formula1>
    </dataValidation>
  </dataValidations>
  <pageMargins left="0.2" right="0.2" top="0.51" bottom="0.78740157480314965" header="0.31496062992125984" footer="0.31496062992125984"/>
  <pageSetup paperSize="9" orientation="landscape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ignoredErrors>
    <ignoredError sqref="C8:C10 C12 C13 C15:C17 C14 C18:C27 C11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Indicadores!$B$4:$B$8</xm:f>
          </x14:formula1>
          <xm:sqref>D8:D27</xm:sqref>
        </x14:dataValidation>
        <x14:dataValidation type="list" allowBlank="1" showInputMessage="1" showErrorMessage="1">
          <x14:formula1>
            <xm:f>Indicadores!$B$13:$B$18</xm:f>
          </x14:formula1>
          <xm:sqref>F8:F27 H8:H27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7"/>
  <sheetViews>
    <sheetView showGridLines="0" tabSelected="1" zoomScale="70" zoomScaleNormal="7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5.75" x14ac:dyDescent="0.25"/>
  <cols>
    <col min="1" max="1" width="3.140625" customWidth="1"/>
    <col min="2" max="2" width="15.5703125" style="34" customWidth="1"/>
    <col min="3" max="3" width="63.7109375" style="7" customWidth="1"/>
    <col min="4" max="4" width="9.28515625" style="7" bestFit="1" customWidth="1"/>
    <col min="5" max="5" width="15.85546875" style="21" customWidth="1"/>
    <col min="6" max="6" width="10.7109375" style="147" bestFit="1" customWidth="1"/>
    <col min="7" max="7" width="19.7109375" style="148" bestFit="1" customWidth="1"/>
    <col min="8" max="8" width="18.7109375" style="148" bestFit="1" customWidth="1"/>
    <col min="9" max="9" width="7.85546875" style="209" bestFit="1" customWidth="1"/>
    <col min="10" max="10" width="18.7109375" customWidth="1"/>
    <col min="11" max="11" width="2.42578125" customWidth="1"/>
    <col min="12" max="12" width="23.140625" customWidth="1"/>
    <col min="13" max="13" width="22.28515625" customWidth="1"/>
    <col min="14" max="14" width="18.28515625" bestFit="1" customWidth="1"/>
    <col min="15" max="15" width="17.7109375" customWidth="1"/>
  </cols>
  <sheetData>
    <row r="1" spans="2:15" ht="16.5" thickBot="1" x14ac:dyDescent="0.3"/>
    <row r="2" spans="2:15" ht="24" thickBot="1" x14ac:dyDescent="0.35">
      <c r="B2" s="162" t="s">
        <v>71</v>
      </c>
      <c r="C2" s="282" t="s">
        <v>268</v>
      </c>
      <c r="D2" s="283"/>
      <c r="E2" s="283"/>
      <c r="F2" s="283"/>
      <c r="G2" s="283"/>
      <c r="H2" s="283"/>
      <c r="I2" s="283"/>
      <c r="J2" s="284"/>
      <c r="L2" s="297" t="s">
        <v>176</v>
      </c>
      <c r="M2" s="298"/>
      <c r="N2" s="265"/>
      <c r="O2" s="298"/>
    </row>
    <row r="3" spans="2:15" ht="24" thickBot="1" x14ac:dyDescent="0.3">
      <c r="B3" s="163" t="s">
        <v>72</v>
      </c>
      <c r="C3" s="282" t="s">
        <v>70</v>
      </c>
      <c r="D3" s="283"/>
      <c r="E3" s="283"/>
      <c r="F3" s="283"/>
      <c r="G3" s="283"/>
      <c r="H3" s="283"/>
      <c r="I3" s="283"/>
      <c r="J3" s="284"/>
      <c r="L3" s="88" t="s">
        <v>177</v>
      </c>
      <c r="M3" s="195" t="s">
        <v>184</v>
      </c>
      <c r="N3" s="202" t="s">
        <v>185</v>
      </c>
      <c r="O3" s="89" t="s">
        <v>186</v>
      </c>
    </row>
    <row r="4" spans="2:15" ht="20.25" thickBot="1" x14ac:dyDescent="0.35">
      <c r="B4" s="299" t="s">
        <v>175</v>
      </c>
      <c r="C4" s="300"/>
      <c r="D4" s="300"/>
      <c r="E4" s="300"/>
      <c r="F4" s="300"/>
      <c r="G4" s="300"/>
      <c r="H4" s="300"/>
      <c r="I4" s="300"/>
      <c r="J4" s="300"/>
      <c r="L4" s="90" t="s">
        <v>178</v>
      </c>
      <c r="M4" s="196">
        <v>10000</v>
      </c>
      <c r="N4" s="203">
        <v>30000</v>
      </c>
      <c r="O4" s="91">
        <v>60000</v>
      </c>
    </row>
    <row r="5" spans="2:15" ht="21" x14ac:dyDescent="0.3">
      <c r="B5" s="301" t="s">
        <v>49</v>
      </c>
      <c r="C5" s="302"/>
      <c r="D5" s="306" t="s">
        <v>272</v>
      </c>
      <c r="E5" s="289" t="s">
        <v>273</v>
      </c>
      <c r="F5" s="293"/>
      <c r="G5" s="293"/>
      <c r="H5" s="293"/>
      <c r="I5" s="290"/>
      <c r="J5" s="303" t="s">
        <v>160</v>
      </c>
      <c r="L5" s="92" t="s">
        <v>179</v>
      </c>
      <c r="M5" s="196">
        <v>40000</v>
      </c>
      <c r="N5" s="203">
        <v>60000</v>
      </c>
      <c r="O5" s="91">
        <v>90000</v>
      </c>
    </row>
    <row r="6" spans="2:15" ht="27" thickBot="1" x14ac:dyDescent="0.45">
      <c r="B6" s="295" t="s">
        <v>6</v>
      </c>
      <c r="C6" s="296"/>
      <c r="D6" s="307"/>
      <c r="E6" s="308"/>
      <c r="F6" s="309"/>
      <c r="G6" s="309"/>
      <c r="H6" s="309"/>
      <c r="I6" s="310"/>
      <c r="J6" s="304"/>
      <c r="L6" s="92" t="s">
        <v>180</v>
      </c>
      <c r="M6" s="197">
        <v>500000</v>
      </c>
      <c r="N6" s="203">
        <v>800000</v>
      </c>
      <c r="O6" s="91">
        <v>1500000</v>
      </c>
    </row>
    <row r="7" spans="2:15" ht="46.5" customHeight="1" thickBot="1" x14ac:dyDescent="0.35">
      <c r="B7" s="173" t="s">
        <v>247</v>
      </c>
      <c r="C7" s="141" t="s">
        <v>0</v>
      </c>
      <c r="D7" s="174" t="s">
        <v>13</v>
      </c>
      <c r="E7" s="180" t="s">
        <v>5</v>
      </c>
      <c r="F7" s="181" t="s">
        <v>252</v>
      </c>
      <c r="G7" s="179" t="s">
        <v>248</v>
      </c>
      <c r="H7" s="210" t="s">
        <v>258</v>
      </c>
      <c r="I7" s="211" t="s">
        <v>8</v>
      </c>
      <c r="J7" s="305"/>
      <c r="L7" s="92" t="s">
        <v>181</v>
      </c>
      <c r="M7" s="197">
        <v>700000</v>
      </c>
      <c r="N7" s="203">
        <v>1000000</v>
      </c>
      <c r="O7" s="91">
        <v>2000000</v>
      </c>
    </row>
    <row r="8" spans="2:15" ht="32.25" thickBot="1" x14ac:dyDescent="0.35">
      <c r="B8" s="164">
        <f>Identificar!B7</f>
        <v>1</v>
      </c>
      <c r="C8" s="69" t="str">
        <f>Identificar!D7</f>
        <v>Formalização de abertura do projeto realizada após inicio do planejamento.</v>
      </c>
      <c r="D8" s="130">
        <f>Tabela2[[#This Row],[G]]</f>
        <v>5.58</v>
      </c>
      <c r="E8" s="171" t="str">
        <f>Tabela2[[#This Row],[Custo]]</f>
        <v>Importante</v>
      </c>
      <c r="F8" s="172">
        <f>IFERROR(VLOOKUP(Tabela24[[#This Row],[Custo]], Indicadores!$B$46:$C$51, 2, FALSE ),0)</f>
        <v>0.4</v>
      </c>
      <c r="G8" s="182">
        <f>(N4+N5)*Tabela24[[#This Row],[%]]</f>
        <v>36000</v>
      </c>
      <c r="H8" s="182">
        <f>Tabela24[[#This Row],[Vlr Mais Provável]]*100%</f>
        <v>36000</v>
      </c>
      <c r="I8" s="114" t="s">
        <v>104</v>
      </c>
      <c r="J8" s="206"/>
      <c r="L8" s="93" t="s">
        <v>182</v>
      </c>
      <c r="M8" s="198">
        <f>M7*30%</f>
        <v>210000</v>
      </c>
      <c r="N8" s="204">
        <f>N7*30%</f>
        <v>300000</v>
      </c>
      <c r="O8" s="200">
        <f>O7*30%</f>
        <v>600000</v>
      </c>
    </row>
    <row r="9" spans="2:15" ht="20.25" thickBot="1" x14ac:dyDescent="0.35">
      <c r="B9" s="165">
        <f>Identificar!B8</f>
        <v>2</v>
      </c>
      <c r="C9" s="67" t="str">
        <f>Identificar!D8</f>
        <v>Concorrência deste projeto com outros projetos.</v>
      </c>
      <c r="D9" s="59">
        <f>Tabela2[[#This Row],[G]]</f>
        <v>5.18</v>
      </c>
      <c r="E9" s="38" t="str">
        <f>Tabela2[[#This Row],[Custo]]</f>
        <v>Desprezível</v>
      </c>
      <c r="F9" s="168">
        <f>IFERROR(VLOOKUP(Tabela24[[#This Row],[Custo]], Indicadores!$B$46:$C$51, 2, FALSE ),0)</f>
        <v>0.1</v>
      </c>
      <c r="G9" s="169">
        <f>(N6)*Tabela24[[#This Row],[%]]</f>
        <v>80000</v>
      </c>
      <c r="H9" s="182">
        <f>Tabela24[[#This Row],[Vlr Mais Provável]]*100%</f>
        <v>80000</v>
      </c>
      <c r="I9" s="114" t="s">
        <v>104</v>
      </c>
      <c r="J9" s="207"/>
      <c r="K9" s="4"/>
      <c r="L9" s="194" t="s">
        <v>183</v>
      </c>
      <c r="M9" s="199">
        <f>SUM(M4:M8)</f>
        <v>1460000</v>
      </c>
      <c r="N9" s="205">
        <f>SUM(N4:N8)</f>
        <v>2190000</v>
      </c>
      <c r="O9" s="201">
        <f>SUM(O4:O8)</f>
        <v>4250000</v>
      </c>
    </row>
    <row r="10" spans="2:15" ht="18.75" x14ac:dyDescent="0.25">
      <c r="B10" s="165">
        <f>Identificar!B9</f>
        <v>3</v>
      </c>
      <c r="C10" s="67" t="str">
        <f>Identificar!D9</f>
        <v>Dificuldade na elaboração das especificações de negócio.</v>
      </c>
      <c r="D10" s="59">
        <f>Tabela2[[#This Row],[G]]</f>
        <v>5.7399999999999993</v>
      </c>
      <c r="E10" s="38" t="str">
        <f>Tabela2[[#This Row],[Custo]]</f>
        <v>Crítico</v>
      </c>
      <c r="F10" s="168">
        <f>IFERROR(VLOOKUP(Tabela24[[#This Row],[Custo]], Indicadores!$B$46:$C$51, 2, FALSE ),0)</f>
        <v>0.7</v>
      </c>
      <c r="G10" s="169">
        <f>(N4+N5)*Tabela24[[#This Row],[%]]</f>
        <v>62999.999999999993</v>
      </c>
      <c r="H10" s="182">
        <f>Tabela24[[#This Row],[Vlr Mais Provável]]*100%</f>
        <v>62999.999999999993</v>
      </c>
      <c r="I10" s="114" t="s">
        <v>104</v>
      </c>
      <c r="J10" s="207"/>
      <c r="N10" s="184"/>
    </row>
    <row r="11" spans="2:15" ht="18.75" x14ac:dyDescent="0.25">
      <c r="B11" s="165">
        <f>Identificar!B10</f>
        <v>4</v>
      </c>
      <c r="C11" s="67" t="str">
        <f>Identificar!D10</f>
        <v>Aprovação Card Desing e modelos de cartas.</v>
      </c>
      <c r="D11" s="59">
        <f>Tabela2[[#This Row],[G]]</f>
        <v>5</v>
      </c>
      <c r="E11" s="38" t="str">
        <f>Tabela2[[#This Row],[Custo]]</f>
        <v>Moderado</v>
      </c>
      <c r="F11" s="168">
        <f>IFERROR(VLOOKUP(Tabela24[[#This Row],[Custo]], Indicadores!$B$46:$C$51, 2, FALSE ),0)</f>
        <v>0.2</v>
      </c>
      <c r="G11" s="169">
        <f>(N7)*Tabela24[[#This Row],[%]]</f>
        <v>200000</v>
      </c>
      <c r="H11" s="182">
        <f>Tabela24[[#This Row],[Vlr Mais Provável]]*100%</f>
        <v>200000</v>
      </c>
      <c r="I11" s="114" t="s">
        <v>265</v>
      </c>
      <c r="J11" s="207"/>
    </row>
    <row r="12" spans="2:15" ht="19.5" thickBot="1" x14ac:dyDescent="0.3">
      <c r="B12" s="165">
        <f>Identificar!B11</f>
        <v>5</v>
      </c>
      <c r="C12" s="67" t="str">
        <f>Identificar!D11</f>
        <v>Certificação chip junto a bandeira MasterCard.</v>
      </c>
      <c r="D12" s="59">
        <f>Tabela2[[#This Row],[G]]</f>
        <v>5.5</v>
      </c>
      <c r="E12" s="38" t="str">
        <f>Tabela2[[#This Row],[Custo]]</f>
        <v>Importante</v>
      </c>
      <c r="F12" s="168">
        <f>IFERROR(VLOOKUP(Tabela24[[#This Row],[Custo]], Indicadores!$B$46:$C$51, 2, FALSE ),0)</f>
        <v>0.4</v>
      </c>
      <c r="G12" s="169">
        <f>Tabela24[[#This Row],[%]]*N5</f>
        <v>24000</v>
      </c>
      <c r="H12" s="182">
        <f>Tabela24[[#This Row],[Vlr Mais Provável]]*100%</f>
        <v>24000</v>
      </c>
      <c r="I12" s="114" t="s">
        <v>104</v>
      </c>
      <c r="J12" s="207"/>
    </row>
    <row r="13" spans="2:15" ht="39.75" thickBot="1" x14ac:dyDescent="0.3">
      <c r="B13" s="165">
        <f>Identificar!B12</f>
        <v>6</v>
      </c>
      <c r="C13" s="67" t="str">
        <f>Identificar!D12</f>
        <v>Complexidade nas entregas de fornecedores externos (IBM / Accenture / Totvs / Tivit / CSU).</v>
      </c>
      <c r="D13" s="59">
        <f>Tabela2[[#This Row],[G]]</f>
        <v>4.0999999999999996</v>
      </c>
      <c r="E13" s="38" t="str">
        <f>Tabela2[[#This Row],[Custo]]</f>
        <v>Crítico</v>
      </c>
      <c r="F13" s="168">
        <f>IFERROR(VLOOKUP(Tabela24[[#This Row],[Custo]], Indicadores!$B$46:$C$51, 2, FALSE ),0)</f>
        <v>0.7</v>
      </c>
      <c r="G13" s="169">
        <f>Tabela24[[#This Row],[%]]*N5</f>
        <v>42000</v>
      </c>
      <c r="H13" s="182">
        <f>Tabela24[[#This Row],[Vlr Mais Provável]]*100%</f>
        <v>42000</v>
      </c>
      <c r="I13" s="114" t="s">
        <v>104</v>
      </c>
      <c r="J13" s="207"/>
      <c r="L13" s="212" t="s">
        <v>267</v>
      </c>
      <c r="M13" s="212" t="s">
        <v>266</v>
      </c>
    </row>
    <row r="14" spans="2:15" ht="32.25" thickBot="1" x14ac:dyDescent="0.3">
      <c r="B14" s="165">
        <f>Identificar!B13</f>
        <v>7</v>
      </c>
      <c r="C14" s="67" t="str">
        <f>Identificar!D13</f>
        <v>Alterações no processo de integração TERMINAL FINANCEIRO - Atraso na entrega da integração com serviços.</v>
      </c>
      <c r="D14" s="59">
        <f>Tabela2[[#This Row],[G]]</f>
        <v>6.58</v>
      </c>
      <c r="E14" s="38" t="str">
        <f>Tabela2[[#This Row],[Custo]]</f>
        <v>Importante</v>
      </c>
      <c r="F14" s="168">
        <f>IFERROR(VLOOKUP(Tabela24[[#This Row],[Custo]], Indicadores!$B$46:$C$51, 2, FALSE ),0)</f>
        <v>0.4</v>
      </c>
      <c r="G14" s="183">
        <f>Tabela24[[#This Row],[%]]*(N4+N5)</f>
        <v>36000</v>
      </c>
      <c r="H14" s="182">
        <f>Tabela24[[#This Row],[Vlr Mais Provável]]*100%</f>
        <v>36000</v>
      </c>
      <c r="I14" s="114" t="s">
        <v>104</v>
      </c>
      <c r="J14" s="207"/>
      <c r="L14" s="213">
        <f>SUM(Tabela24[Vlr Mais Provável])</f>
        <v>3225000</v>
      </c>
      <c r="M14" s="214">
        <f>SUMIF(Tabela24[Ação],"Sim",Tabela24[Vlr Contingência])</f>
        <v>629000</v>
      </c>
    </row>
    <row r="15" spans="2:15" ht="31.5" x14ac:dyDescent="0.25">
      <c r="B15" s="165">
        <f>Identificar!B14</f>
        <v>8</v>
      </c>
      <c r="C15" s="67" t="str">
        <f>Identificar!D14</f>
        <v>Complexidade nas entregas de fornecedores internos técnicos (Arquitetura / Ambientes / Comunicação).</v>
      </c>
      <c r="D15" s="59">
        <f>Tabela2[[#This Row],[G]]</f>
        <v>7.0200000000000005</v>
      </c>
      <c r="E15" s="38" t="str">
        <f>Tabela2[[#This Row],[Custo]]</f>
        <v>Importante</v>
      </c>
      <c r="F15" s="168">
        <f>IFERROR(VLOOKUP(Tabela24[[#This Row],[Custo]], Indicadores!$B$46:$C$51, 2, FALSE ),0)</f>
        <v>0.4</v>
      </c>
      <c r="G15" s="169">
        <f>Tabela24[[#This Row],[%]]*(N4+N5)</f>
        <v>36000</v>
      </c>
      <c r="H15" s="182">
        <f>Tabela24[[#This Row],[Vlr Mais Provável]]*100%</f>
        <v>36000</v>
      </c>
      <c r="I15" s="114" t="s">
        <v>104</v>
      </c>
      <c r="J15" s="207"/>
    </row>
    <row r="16" spans="2:15" ht="18.75" x14ac:dyDescent="0.25">
      <c r="B16" s="165">
        <f>Identificar!B15</f>
        <v>9</v>
      </c>
      <c r="C16" s="67" t="str">
        <f>Identificar!D15</f>
        <v>Alterações no escopo do projeto.</v>
      </c>
      <c r="D16" s="59">
        <f>Tabela2[[#This Row],[G]]</f>
        <v>9.3600000000000012</v>
      </c>
      <c r="E16" s="38" t="str">
        <f>Tabela2[[#This Row],[Custo]]</f>
        <v>Extremo</v>
      </c>
      <c r="F16" s="168">
        <f>IFERROR(VLOOKUP(Tabela24[[#This Row],[Custo]], Indicadores!$B$46:$C$51, 2, FALSE ),0)</f>
        <v>0.6</v>
      </c>
      <c r="G16" s="169">
        <f>Tabela24[[#This Row],[%]]*N6</f>
        <v>480000</v>
      </c>
      <c r="H16" s="170">
        <f>Tabela24[[#This Row],[Vlr Mais Provável]]*100%</f>
        <v>480000</v>
      </c>
      <c r="I16" s="114" t="s">
        <v>265</v>
      </c>
      <c r="J16" s="207"/>
    </row>
    <row r="17" spans="2:10" ht="31.5" x14ac:dyDescent="0.25">
      <c r="B17" s="165">
        <f>Identificar!B16</f>
        <v>10</v>
      </c>
      <c r="C17" s="67" t="str">
        <f>Identificar!D16</f>
        <v>Concorrências dos recursos do projeto com outros projetos e atividades do dia-a-dia.</v>
      </c>
      <c r="D17" s="59">
        <f>Tabela2[[#This Row],[G]]</f>
        <v>4.76</v>
      </c>
      <c r="E17" s="38" t="str">
        <f>Tabela2[[#This Row],[Custo]]</f>
        <v>Moderado</v>
      </c>
      <c r="F17" s="168">
        <f>IFERROR(VLOOKUP(Tabela24[[#This Row],[Custo]], Indicadores!$B$46:$C$51, 2, FALSE ),0)</f>
        <v>0.2</v>
      </c>
      <c r="G17" s="169">
        <f>Tabela24[[#This Row],[%]]*(N4+N5+N8)</f>
        <v>78000</v>
      </c>
      <c r="H17" s="182">
        <f>Tabela24[[#This Row],[Vlr Mais Provável]]*100%</f>
        <v>78000</v>
      </c>
      <c r="I17" s="114" t="s">
        <v>104</v>
      </c>
      <c r="J17" s="207"/>
    </row>
    <row r="18" spans="2:10" ht="31.5" x14ac:dyDescent="0.25">
      <c r="B18" s="165">
        <f>Identificar!B17</f>
        <v>11</v>
      </c>
      <c r="C18" s="67" t="str">
        <f>Identificar!D17</f>
        <v>Não envolvimento efetivo dos patrocinadores e stakeholders no projeto.</v>
      </c>
      <c r="D18" s="59">
        <f>Tabela2[[#This Row],[G]]</f>
        <v>2.4960000000000004</v>
      </c>
      <c r="E18" s="38" t="str">
        <f>Tabela2[[#This Row],[Custo]]</f>
        <v>Importante</v>
      </c>
      <c r="F18" s="168">
        <f>IFERROR(VLOOKUP(Tabela24[[#This Row],[Custo]], Indicadores!$B$46:$C$51, 2, FALSE ),0)</f>
        <v>0.4</v>
      </c>
      <c r="G18" s="169">
        <f>Tabela24[[#This Row],[%]]*(N4+N5)</f>
        <v>36000</v>
      </c>
      <c r="H18" s="182">
        <f>Tabela24[[#This Row],[Vlr Mais Provável]]*100%</f>
        <v>36000</v>
      </c>
      <c r="I18" s="114" t="s">
        <v>104</v>
      </c>
      <c r="J18" s="207"/>
    </row>
    <row r="19" spans="2:10" ht="31.5" x14ac:dyDescent="0.25">
      <c r="B19" s="165">
        <f>Identificar!B18</f>
        <v>12</v>
      </c>
      <c r="C19" s="67" t="str">
        <f>Identificar!D18</f>
        <v>Não cumprimento dos prazos de entregas definidos no cronograma do projeto.</v>
      </c>
      <c r="D19" s="59">
        <f>Tabela2[[#This Row],[G]]</f>
        <v>4.2</v>
      </c>
      <c r="E19" s="38" t="str">
        <f>Tabela2[[#This Row],[Custo]]</f>
        <v>Moderado</v>
      </c>
      <c r="F19" s="168">
        <f>IFERROR(VLOOKUP(Tabela24[[#This Row],[Custo]], Indicadores!$B$46:$C$51, 2, FALSE ),0)</f>
        <v>0.2</v>
      </c>
      <c r="G19" s="169">
        <f>Tabela24[[#This Row],[%]]*N6</f>
        <v>160000</v>
      </c>
      <c r="H19" s="182">
        <f>Tabela24[[#This Row],[Vlr Mais Provável]]*100%</f>
        <v>160000</v>
      </c>
      <c r="I19" s="114" t="s">
        <v>265</v>
      </c>
      <c r="J19" s="207"/>
    </row>
    <row r="20" spans="2:10" ht="78.75" x14ac:dyDescent="0.25">
      <c r="B20" s="165">
        <f>Identificar!B19</f>
        <v>13</v>
      </c>
      <c r="C20" s="67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D20" s="59">
        <f>Tabela2[[#This Row],[G]]</f>
        <v>4.76</v>
      </c>
      <c r="E20" s="38" t="str">
        <f>Tabela2[[#This Row],[Custo]]</f>
        <v>Moderado</v>
      </c>
      <c r="F20" s="168">
        <f>IFERROR(VLOOKUP(Tabela24[[#This Row],[Custo]], Indicadores!$B$46:$C$51, 2, FALSE ),0)</f>
        <v>0.2</v>
      </c>
      <c r="G20" s="169">
        <f>Tabela24[[#This Row],[%]]*(N4+N5+N8)</f>
        <v>78000</v>
      </c>
      <c r="H20" s="182">
        <f>Tabela24[[#This Row],[Vlr Mais Provável]]*100%</f>
        <v>78000</v>
      </c>
      <c r="I20" s="114" t="s">
        <v>104</v>
      </c>
      <c r="J20" s="207"/>
    </row>
    <row r="21" spans="2:10" ht="47.25" x14ac:dyDescent="0.25">
      <c r="B21" s="165">
        <f>Identificar!B20</f>
        <v>14</v>
      </c>
      <c r="C21" s="67" t="str">
        <f>Identificar!D20</f>
        <v>Alteração de processos operacionais vitais para a continuidade de negócio e de back-office (processamento e conciliação dos sistemas).</v>
      </c>
      <c r="D21" s="59">
        <f>Tabela2[[#This Row],[G]]</f>
        <v>4.3200000000000012</v>
      </c>
      <c r="E21" s="38" t="str">
        <f>Tabela2[[#This Row],[Custo]]</f>
        <v>Nulo</v>
      </c>
      <c r="F21" s="168">
        <f>IFERROR(VLOOKUP(Tabela24[[#This Row],[Custo]], Indicadores!$B$46:$C$51, 2, FALSE ),0)</f>
        <v>0</v>
      </c>
      <c r="G21" s="169">
        <f>(Tabela24[[#This Row],[%]]/100)*M21</f>
        <v>0</v>
      </c>
      <c r="H21" s="182">
        <f>Tabela24[[#This Row],[Vlr Mais Provável]]*100%</f>
        <v>0</v>
      </c>
      <c r="I21" s="114" t="s">
        <v>104</v>
      </c>
      <c r="J21" s="207"/>
    </row>
    <row r="22" spans="2:10" ht="31.5" x14ac:dyDescent="0.25">
      <c r="B22" s="165">
        <f>Identificar!B21</f>
        <v>15</v>
      </c>
      <c r="C22" s="67" t="str">
        <f>Identificar!D21</f>
        <v>Complexidade no desenvolvimento dos novos serviços no sistema.</v>
      </c>
      <c r="D22" s="59">
        <f>Tabela2[[#This Row],[G]]</f>
        <v>5.46</v>
      </c>
      <c r="E22" s="38" t="str">
        <f>Tabela2[[#This Row],[Custo]]</f>
        <v>Importante</v>
      </c>
      <c r="F22" s="168">
        <f>IFERROR(VLOOKUP(Tabela24[[#This Row],[Custo]], Indicadores!$B$46:$C$51, 2, FALSE ),0)</f>
        <v>0.4</v>
      </c>
      <c r="G22" s="169">
        <f>N6*Tabela24[[#This Row],[%]]</f>
        <v>320000</v>
      </c>
      <c r="H22" s="182">
        <f>Tabela24[[#This Row],[Vlr Mais Provável]]*100%</f>
        <v>320000</v>
      </c>
      <c r="I22" s="114" t="s">
        <v>265</v>
      </c>
      <c r="J22" s="207"/>
    </row>
    <row r="23" spans="2:10" ht="31.5" x14ac:dyDescent="0.25">
      <c r="B23" s="165">
        <f>Identificar!B22</f>
        <v>16</v>
      </c>
      <c r="C23" s="67" t="str">
        <f>Identificar!D22</f>
        <v>Falta de recursos para realização do processo de homologação por parte da área de Qualidade</v>
      </c>
      <c r="D23" s="59">
        <f>Tabela2[[#This Row],[G]]</f>
        <v>5.46</v>
      </c>
      <c r="E23" s="38" t="str">
        <f>Tabela2[[#This Row],[Custo]]</f>
        <v>Importante</v>
      </c>
      <c r="F23" s="168">
        <f>IFERROR(VLOOKUP(Tabela24[[#This Row],[Custo]], Indicadores!$B$46:$C$51, 2, FALSE ),0)</f>
        <v>0.4</v>
      </c>
      <c r="G23" s="169">
        <f>N8*Tabela24[[#This Row],[%]]</f>
        <v>120000</v>
      </c>
      <c r="H23" s="182">
        <f>Tabela24[[#This Row],[Vlr Mais Provável]]*100%</f>
        <v>120000</v>
      </c>
      <c r="I23" s="114" t="s">
        <v>104</v>
      </c>
      <c r="J23" s="207"/>
    </row>
    <row r="24" spans="2:10" ht="31.5" x14ac:dyDescent="0.25">
      <c r="B24" s="165">
        <f>Identificar!B23</f>
        <v>17</v>
      </c>
      <c r="C24" s="67" t="str">
        <f>Identificar!D23</f>
        <v>Falha no detalhamento (densidade) da especificação funcional e artefatos acessórios.</v>
      </c>
      <c r="D24" s="59">
        <f>Tabela2[[#This Row],[G]]</f>
        <v>3.9000000000000004</v>
      </c>
      <c r="E24" s="38" t="str">
        <f>Tabela2[[#This Row],[Custo]]</f>
        <v>Importante</v>
      </c>
      <c r="F24" s="168">
        <f>IFERROR(VLOOKUP(Tabela24[[#This Row],[Custo]], Indicadores!$B$46:$C$51, 2, FALSE ),0)</f>
        <v>0.4</v>
      </c>
      <c r="G24" s="169">
        <f>Tabela24[[#This Row],[%]]*N6</f>
        <v>320000</v>
      </c>
      <c r="H24" s="182">
        <f>Tabela24[[#This Row],[Vlr Mais Provável]]*100%</f>
        <v>320000</v>
      </c>
      <c r="I24" s="114" t="s">
        <v>265</v>
      </c>
      <c r="J24" s="207"/>
    </row>
    <row r="25" spans="2:10" ht="31.5" x14ac:dyDescent="0.25">
      <c r="B25" s="165">
        <f>Identificar!B24</f>
        <v>18</v>
      </c>
      <c r="C25" s="67" t="str">
        <f>Identificar!D24</f>
        <v>Qualidade nas entregas dos provedores pode comprometer cronograma.</v>
      </c>
      <c r="D25" s="59">
        <f>Tabela2[[#This Row],[G]]</f>
        <v>2.4960000000000004</v>
      </c>
      <c r="E25" s="38" t="str">
        <f>Tabela2[[#This Row],[Custo]]</f>
        <v>Importante</v>
      </c>
      <c r="F25" s="168">
        <f>IFERROR(VLOOKUP(Tabela24[[#This Row],[Custo]], Indicadores!$B$46:$C$51, 2, FALSE ),0)</f>
        <v>0.4</v>
      </c>
      <c r="G25" s="169">
        <f>Tabela24[[#This Row],[%]]*N7</f>
        <v>400000</v>
      </c>
      <c r="H25" s="182">
        <f>Tabela24[[#This Row],[Vlr Mais Provável]]*100%</f>
        <v>400000</v>
      </c>
      <c r="I25" s="114" t="s">
        <v>265</v>
      </c>
      <c r="J25" s="207"/>
    </row>
    <row r="26" spans="2:10" ht="18.75" x14ac:dyDescent="0.25">
      <c r="B26" s="165">
        <f>Identificar!B25</f>
        <v>19</v>
      </c>
      <c r="C26" s="67" t="str">
        <f>Identificar!D25</f>
        <v>Não conformidade do sistema com relação ao escopo do projeto.</v>
      </c>
      <c r="D26" s="59">
        <f>Tabela2[[#This Row],[G]]</f>
        <v>3.9000000000000004</v>
      </c>
      <c r="E26" s="38" t="str">
        <f>Tabela2[[#This Row],[Custo]]</f>
        <v>Importante</v>
      </c>
      <c r="F26" s="168">
        <f>IFERROR(VLOOKUP(Tabela24[[#This Row],[Custo]], Indicadores!$B$46:$C$51, 2, FALSE ),0)</f>
        <v>0.4</v>
      </c>
      <c r="G26" s="169">
        <f>Tabela24[[#This Row],[%]]*(N4+N5+N8)</f>
        <v>156000</v>
      </c>
      <c r="H26" s="182">
        <f>Tabela24[[#This Row],[Vlr Mais Provável]]*100%</f>
        <v>156000</v>
      </c>
      <c r="I26" s="114" t="s">
        <v>265</v>
      </c>
      <c r="J26" s="207"/>
    </row>
    <row r="27" spans="2:10" ht="19.5" thickBot="1" x14ac:dyDescent="0.3">
      <c r="B27" s="165">
        <f>Identificar!B26</f>
        <v>20</v>
      </c>
      <c r="C27" s="67" t="str">
        <f>Identificar!D26</f>
        <v>Inclusão de novos produtos no escopo do projeto .</v>
      </c>
      <c r="D27" s="59">
        <f>Tabela2[[#This Row],[G]]</f>
        <v>5.7</v>
      </c>
      <c r="E27" s="38" t="str">
        <f>Tabela2[[#This Row],[Custo]]</f>
        <v>Crítico</v>
      </c>
      <c r="F27" s="168">
        <f>IFERROR(VLOOKUP(Tabela24[[#This Row],[Custo]], Indicadores!$B$46:$C$51, 2, FALSE ),0)</f>
        <v>0.7</v>
      </c>
      <c r="G27" s="169">
        <f>Tabela24[[#This Row],[%]]*N6</f>
        <v>560000</v>
      </c>
      <c r="H27" s="182">
        <f>Tabela24[[#This Row],[Vlr Mais Provável]]*100%</f>
        <v>560000</v>
      </c>
      <c r="I27" s="114" t="s">
        <v>265</v>
      </c>
      <c r="J27" s="208"/>
    </row>
  </sheetData>
  <mergeCells count="9">
    <mergeCell ref="B6:C6"/>
    <mergeCell ref="L2:O2"/>
    <mergeCell ref="C2:J2"/>
    <mergeCell ref="C3:J3"/>
    <mergeCell ref="B4:J4"/>
    <mergeCell ref="B5:C5"/>
    <mergeCell ref="J5:J7"/>
    <mergeCell ref="D5:D6"/>
    <mergeCell ref="E5:I6"/>
  </mergeCells>
  <conditionalFormatting sqref="D8:D27">
    <cfRule type="colorScale" priority="13">
      <colorScale>
        <cfvo type="num" val="1"/>
        <cfvo type="num" val="4"/>
        <cfvo type="num" val="7"/>
        <color rgb="FF63BE7B"/>
        <color rgb="FFFFEB84"/>
        <color rgb="FFF8696B"/>
      </colorScale>
    </cfRule>
  </conditionalFormatting>
  <conditionalFormatting sqref="H8:H17 H24:H27">
    <cfRule type="cellIs" dxfId="45" priority="12" operator="greaterThan">
      <formula>40000</formula>
    </cfRule>
  </conditionalFormatting>
  <conditionalFormatting sqref="I1:I18 I20:I1048576">
    <cfRule type="cellIs" dxfId="44" priority="5" operator="equal">
      <formula>"Avaliar"</formula>
    </cfRule>
  </conditionalFormatting>
  <conditionalFormatting sqref="H18:H23">
    <cfRule type="cellIs" dxfId="43" priority="2" operator="greaterThan">
      <formula>40000</formula>
    </cfRule>
  </conditionalFormatting>
  <conditionalFormatting sqref="I19">
    <cfRule type="cellIs" dxfId="42" priority="1" operator="equal">
      <formula>"Avaliar"</formula>
    </cfRule>
  </conditionalFormatting>
  <dataValidations count="2">
    <dataValidation type="list" allowBlank="1" showInputMessage="1" showErrorMessage="1" sqref="B6:C6">
      <formula1>"Custo,Prazo"</formula1>
    </dataValidation>
    <dataValidation type="list" allowBlank="1" showInputMessage="1" showErrorMessage="1" sqref="I8:I27">
      <formula1>"Sim,Não,Avaliar"</formula1>
    </dataValidation>
  </dataValidations>
  <pageMargins left="0.2" right="0.2" top="0.51" bottom="0.78740157480314965" header="0.31496062992125984" footer="0.31496062992125984"/>
  <pageSetup paperSize="9" orientation="landscape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ignoredErrors>
    <ignoredError sqref="C9 G11:G12 E8 C11:C13 C8 C10 C15:C27 C14 G10 G13 G15:G20 J14 J18 J15 J17 G22:G27 G14 G8:G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showGridLines="0" zoomScale="70" zoomScaleNormal="70" workbookViewId="0">
      <pane xSplit="3" ySplit="7" topLeftCell="D8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RowHeight="21" customHeight="1" x14ac:dyDescent="0.25"/>
  <cols>
    <col min="1" max="1" width="2.7109375" style="73" customWidth="1"/>
    <col min="2" max="2" width="19.7109375" style="34" customWidth="1"/>
    <col min="3" max="3" width="74.42578125" style="7" customWidth="1"/>
    <col min="4" max="4" width="9.7109375" style="3" customWidth="1"/>
    <col min="5" max="5" width="22.5703125" style="215" customWidth="1"/>
    <col min="6" max="6" width="13.85546875" style="215" bestFit="1" customWidth="1"/>
    <col min="7" max="7" width="19.28515625" style="64" customWidth="1"/>
    <col min="8" max="8" width="9.5703125" style="64" hidden="1" customWidth="1"/>
    <col min="9" max="9" width="18.42578125" style="64" customWidth="1"/>
    <col min="10" max="10" width="10.5703125" style="64" hidden="1" customWidth="1"/>
    <col min="11" max="11" width="87.7109375" style="32" customWidth="1"/>
    <col min="12" max="12" width="21.7109375" style="32" bestFit="1" customWidth="1"/>
    <col min="13" max="13" width="18.7109375" style="33" customWidth="1"/>
    <col min="14" max="14" width="18.85546875" style="31" customWidth="1"/>
    <col min="15" max="15" width="17.5703125" style="31" customWidth="1"/>
    <col min="16" max="16" width="47" customWidth="1"/>
    <col min="17" max="17" width="48" customWidth="1"/>
    <col min="18" max="18" width="17.7109375" style="39" bestFit="1" customWidth="1"/>
    <col min="19" max="19" width="15" style="39" customWidth="1"/>
    <col min="20" max="20" width="16.28515625" style="39" bestFit="1" customWidth="1"/>
    <col min="21" max="21" width="14.85546875" style="39" bestFit="1" customWidth="1"/>
    <col min="22" max="22" width="10.28515625" style="39" bestFit="1" customWidth="1"/>
    <col min="23" max="23" width="15" style="39" customWidth="1"/>
    <col min="24" max="24" width="16.5703125" style="39" customWidth="1"/>
  </cols>
  <sheetData>
    <row r="1" spans="1:24" ht="16.5" thickBot="1" x14ac:dyDescent="0.3"/>
    <row r="2" spans="1:24" ht="24" thickBot="1" x14ac:dyDescent="0.3">
      <c r="B2" s="190" t="s">
        <v>71</v>
      </c>
      <c r="C2" s="187" t="s">
        <v>268</v>
      </c>
      <c r="D2" s="188"/>
      <c r="E2" s="216"/>
      <c r="F2" s="216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spans="1:24" ht="24" thickBot="1" x14ac:dyDescent="0.3">
      <c r="B3" s="191" t="s">
        <v>72</v>
      </c>
      <c r="C3" s="187" t="s">
        <v>70</v>
      </c>
      <c r="D3" s="188"/>
      <c r="E3" s="216"/>
      <c r="F3" s="216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9"/>
    </row>
    <row r="4" spans="1:24" s="74" customFormat="1" ht="21" customHeight="1" thickBot="1" x14ac:dyDescent="0.35">
      <c r="B4" s="185" t="s">
        <v>149</v>
      </c>
      <c r="C4" s="186"/>
      <c r="D4" s="186"/>
      <c r="E4" s="217"/>
      <c r="F4" s="217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</row>
    <row r="5" spans="1:24" ht="21" customHeight="1" x14ac:dyDescent="0.25">
      <c r="B5" s="301" t="s">
        <v>49</v>
      </c>
      <c r="C5" s="302"/>
      <c r="D5" s="277" t="s">
        <v>272</v>
      </c>
      <c r="E5" s="311" t="s">
        <v>271</v>
      </c>
      <c r="F5" s="312"/>
      <c r="G5" s="315" t="s">
        <v>200</v>
      </c>
      <c r="H5" s="316"/>
      <c r="I5" s="316"/>
      <c r="J5" s="316"/>
      <c r="K5" s="316"/>
      <c r="L5" s="316"/>
      <c r="M5" s="316"/>
      <c r="N5" s="316"/>
      <c r="O5" s="317"/>
      <c r="P5" s="321" t="s">
        <v>158</v>
      </c>
      <c r="Q5" s="323"/>
      <c r="R5" s="321" t="s">
        <v>157</v>
      </c>
      <c r="S5" s="322"/>
      <c r="T5" s="322"/>
      <c r="U5" s="322"/>
      <c r="V5" s="322"/>
      <c r="W5" s="322"/>
      <c r="X5" s="323"/>
    </row>
    <row r="6" spans="1:24" ht="21" customHeight="1" thickBot="1" x14ac:dyDescent="0.45">
      <c r="B6" s="295" t="s">
        <v>6</v>
      </c>
      <c r="C6" s="296"/>
      <c r="D6" s="327"/>
      <c r="E6" s="313"/>
      <c r="F6" s="314"/>
      <c r="G6" s="318"/>
      <c r="H6" s="319"/>
      <c r="I6" s="319"/>
      <c r="J6" s="319"/>
      <c r="K6" s="319"/>
      <c r="L6" s="319"/>
      <c r="M6" s="319"/>
      <c r="N6" s="319"/>
      <c r="O6" s="320"/>
      <c r="P6" s="324"/>
      <c r="Q6" s="326"/>
      <c r="R6" s="324"/>
      <c r="S6" s="325"/>
      <c r="T6" s="325"/>
      <c r="U6" s="325"/>
      <c r="V6" s="325"/>
      <c r="W6" s="325"/>
      <c r="X6" s="326"/>
    </row>
    <row r="7" spans="1:24" s="240" customFormat="1" ht="48" customHeight="1" thickBot="1" x14ac:dyDescent="0.3">
      <c r="A7" s="238"/>
      <c r="B7" s="137" t="s">
        <v>247</v>
      </c>
      <c r="C7" s="138" t="s">
        <v>0</v>
      </c>
      <c r="D7" s="139" t="s">
        <v>13</v>
      </c>
      <c r="E7" s="239" t="s">
        <v>258</v>
      </c>
      <c r="F7" s="211" t="s">
        <v>8</v>
      </c>
      <c r="G7" s="99" t="s">
        <v>169</v>
      </c>
      <c r="H7" s="100" t="s">
        <v>188</v>
      </c>
      <c r="I7" s="102" t="s">
        <v>170</v>
      </c>
      <c r="J7" s="103" t="s">
        <v>172</v>
      </c>
      <c r="K7" s="140" t="s">
        <v>124</v>
      </c>
      <c r="L7" s="141" t="s">
        <v>125</v>
      </c>
      <c r="M7" s="141" t="s">
        <v>126</v>
      </c>
      <c r="N7" s="141" t="s">
        <v>108</v>
      </c>
      <c r="O7" s="142" t="s">
        <v>15</v>
      </c>
      <c r="P7" s="143" t="s">
        <v>127</v>
      </c>
      <c r="Q7" s="144" t="s">
        <v>128</v>
      </c>
      <c r="R7" s="104" t="s">
        <v>129</v>
      </c>
      <c r="S7" s="138" t="s">
        <v>5</v>
      </c>
      <c r="T7" s="138" t="s">
        <v>151</v>
      </c>
      <c r="U7" s="138" t="s">
        <v>152</v>
      </c>
      <c r="V7" s="104" t="s">
        <v>153</v>
      </c>
      <c r="W7" s="100" t="s">
        <v>154</v>
      </c>
      <c r="X7" s="100" t="s">
        <v>155</v>
      </c>
    </row>
    <row r="8" spans="1:24" ht="36" customHeight="1" x14ac:dyDescent="0.25">
      <c r="B8" s="129">
        <f>Identificar!B7</f>
        <v>1</v>
      </c>
      <c r="C8" s="69" t="str">
        <f>Identificar!D7</f>
        <v>Formalização de abertura do projeto realizada após inicio do planejamento.</v>
      </c>
      <c r="D8" s="130">
        <f>Tabela2[[#This Row],[G]]</f>
        <v>5.58</v>
      </c>
      <c r="E8" s="218">
        <f>Tabela24[[#This Row],[Vlr Contingência]]</f>
        <v>36000</v>
      </c>
      <c r="F8" s="218" t="str">
        <f>Tabela24[[#This Row],[Ação]]</f>
        <v>Sim</v>
      </c>
      <c r="G8" s="98" t="str">
        <f>IF(D8&lt;=6,IF(D8&gt;=3,Indicadores!B57,Indicadores!B58),Indicadores!B56)</f>
        <v>Contingenciar ou Transferir</v>
      </c>
      <c r="H8" s="98">
        <f>IF(Tabela22[[#This Row],[Ação Sugerida]]="Mitigar",1,IF(Tabela22[[#This Row],[Ação Sugerida]]="Aceitar",3,2))</f>
        <v>2</v>
      </c>
      <c r="I8" s="114" t="s">
        <v>1</v>
      </c>
      <c r="J8" s="114">
        <f>IF(Tabela22[[#This Row],[Ação a Realizar]]="Mitigar",1,IF(Tabela22[[#This Row],[Ação a Realizar]]="Aceitar",3,2))</f>
        <v>1</v>
      </c>
      <c r="K8" s="131" t="s">
        <v>107</v>
      </c>
      <c r="L8" s="98" t="s">
        <v>216</v>
      </c>
      <c r="M8" s="98" t="s">
        <v>16</v>
      </c>
      <c r="N8" s="132">
        <v>41578</v>
      </c>
      <c r="O8" s="133">
        <v>41577</v>
      </c>
      <c r="P8" s="105" t="s">
        <v>191</v>
      </c>
      <c r="Q8" s="106" t="s">
        <v>191</v>
      </c>
      <c r="R8" s="134" t="s">
        <v>190</v>
      </c>
      <c r="S8" s="135" t="s">
        <v>189</v>
      </c>
      <c r="T8" s="135" t="s">
        <v>190</v>
      </c>
      <c r="U8" s="135" t="s">
        <v>189</v>
      </c>
      <c r="V8" s="135" t="s">
        <v>190</v>
      </c>
      <c r="W8" s="135" t="s">
        <v>190</v>
      </c>
      <c r="X8" s="136" t="s">
        <v>190</v>
      </c>
    </row>
    <row r="9" spans="1:24" ht="47.25" x14ac:dyDescent="0.25">
      <c r="B9" s="129">
        <f>Identificar!B8</f>
        <v>2</v>
      </c>
      <c r="C9" s="67" t="str">
        <f>Identificar!D8</f>
        <v>Concorrência deste projeto com outros projetos.</v>
      </c>
      <c r="D9" s="59">
        <f>Tabela2[[#This Row],[G]]</f>
        <v>5.18</v>
      </c>
      <c r="E9" s="218">
        <f>Tabela24[[#This Row],[Vlr Contingência]]</f>
        <v>80000</v>
      </c>
      <c r="F9" s="218" t="str">
        <f>Tabela24[[#This Row],[Ação]]</f>
        <v>Sim</v>
      </c>
      <c r="G9" s="60" t="str">
        <f>IF(D9&lt;=6,IF(D9&gt;=3,Indicadores!B57,Indicadores!B58),Indicadores!B56)</f>
        <v>Contingenciar ou Transferir</v>
      </c>
      <c r="H9" s="98">
        <f>IF(Tabela22[[#This Row],[Ação Sugerida]]="Mitigar",1,IF(Tabela22[[#This Row],[Ação Sugerida]]="Aceitar",3,2))</f>
        <v>2</v>
      </c>
      <c r="I9" s="115" t="s">
        <v>202</v>
      </c>
      <c r="J9" s="115">
        <f>IF(Tabela22[[#This Row],[Ação a Realizar]]="Mitigar",1,IF(Tabela22[[#This Row],[Ação a Realizar]]="Aceitar",3,2))</f>
        <v>2</v>
      </c>
      <c r="K9" s="77" t="s">
        <v>192</v>
      </c>
      <c r="L9" s="60" t="s">
        <v>216</v>
      </c>
      <c r="M9" s="60" t="s">
        <v>16</v>
      </c>
      <c r="N9" s="60" t="s">
        <v>199</v>
      </c>
      <c r="O9" s="75"/>
      <c r="P9" s="105" t="s">
        <v>191</v>
      </c>
      <c r="Q9" s="105" t="s">
        <v>193</v>
      </c>
      <c r="R9" s="107" t="s">
        <v>189</v>
      </c>
      <c r="S9" s="108" t="s">
        <v>189</v>
      </c>
      <c r="T9" s="108" t="s">
        <v>190</v>
      </c>
      <c r="U9" s="108" t="s">
        <v>189</v>
      </c>
      <c r="V9" s="108" t="s">
        <v>189</v>
      </c>
      <c r="W9" s="108" t="s">
        <v>189</v>
      </c>
      <c r="X9" s="109" t="s">
        <v>189</v>
      </c>
    </row>
    <row r="10" spans="1:24" ht="31.5" customHeight="1" x14ac:dyDescent="0.25">
      <c r="B10" s="129">
        <f>Identificar!B9</f>
        <v>3</v>
      </c>
      <c r="C10" s="68" t="str">
        <f>Identificar!D9</f>
        <v>Dificuldade na elaboração das especificações de negócio.</v>
      </c>
      <c r="D10" s="59">
        <f>Tabela2[[#This Row],[G]]</f>
        <v>5.7399999999999993</v>
      </c>
      <c r="E10" s="218">
        <f>Tabela24[[#This Row],[Vlr Contingência]]</f>
        <v>62999.999999999993</v>
      </c>
      <c r="F10" s="218" t="str">
        <f>Tabela24[[#This Row],[Ação]]</f>
        <v>Sim</v>
      </c>
      <c r="G10" s="60" t="str">
        <f>IF(D10&lt;=6,IF(D10&gt;=3,Indicadores!B57,Indicadores!B58),Indicadores!B56)</f>
        <v>Contingenciar ou Transferir</v>
      </c>
      <c r="H10" s="98">
        <f>IF(Tabela22[[#This Row],[Ação Sugerida]]="Mitigar",1,IF(Tabela22[[#This Row],[Ação Sugerida]]="Aceitar",3,2))</f>
        <v>2</v>
      </c>
      <c r="I10" s="115" t="s">
        <v>1</v>
      </c>
      <c r="J10" s="115">
        <f>IF(Tabela22[[#This Row],[Ação a Realizar]]="Mitigar",1,IF(Tabela22[[#This Row],[Ação a Realizar]]="Aceitar",3,2))</f>
        <v>1</v>
      </c>
      <c r="K10" s="77" t="s">
        <v>111</v>
      </c>
      <c r="L10" s="60" t="s">
        <v>216</v>
      </c>
      <c r="M10" s="60" t="s">
        <v>16</v>
      </c>
      <c r="N10" s="60" t="s">
        <v>199</v>
      </c>
      <c r="O10" s="75"/>
      <c r="P10" s="105" t="s">
        <v>191</v>
      </c>
      <c r="Q10" s="128" t="s">
        <v>191</v>
      </c>
      <c r="R10" s="107" t="s">
        <v>190</v>
      </c>
      <c r="S10" s="108" t="s">
        <v>190</v>
      </c>
      <c r="T10" s="108" t="s">
        <v>190</v>
      </c>
      <c r="U10" s="108" t="s">
        <v>190</v>
      </c>
      <c r="V10" s="108" t="s">
        <v>190</v>
      </c>
      <c r="W10" s="108" t="s">
        <v>190</v>
      </c>
      <c r="X10" s="109" t="s">
        <v>190</v>
      </c>
    </row>
    <row r="11" spans="1:24" ht="47.25" x14ac:dyDescent="0.25">
      <c r="B11" s="129">
        <f>Identificar!B10</f>
        <v>4</v>
      </c>
      <c r="C11" s="67" t="str">
        <f>Identificar!D10</f>
        <v>Aprovação Card Desing e modelos de cartas.</v>
      </c>
      <c r="D11" s="59">
        <f>Tabela2[[#This Row],[G]]</f>
        <v>5</v>
      </c>
      <c r="E11" s="218">
        <f>Tabela24[[#This Row],[Vlr Contingência]]</f>
        <v>200000</v>
      </c>
      <c r="F11" s="218" t="str">
        <f>Tabela24[[#This Row],[Ação]]</f>
        <v>Avaliar</v>
      </c>
      <c r="G11" s="60" t="str">
        <f>IF(D11&lt;=6,IF(D11&gt;=3,Indicadores!B57,Indicadores!B58),Indicadores!B56)</f>
        <v>Contingenciar ou Transferir</v>
      </c>
      <c r="H11" s="98">
        <f>IF(Tabela22[[#This Row],[Ação Sugerida]]="Mitigar",1,IF(Tabela22[[#This Row],[Ação Sugerida]]="Aceitar",3,2))</f>
        <v>2</v>
      </c>
      <c r="I11" s="115" t="s">
        <v>1</v>
      </c>
      <c r="J11" s="115">
        <f>IF(Tabela22[[#This Row],[Ação a Realizar]]="Mitigar",1,IF(Tabela22[[#This Row],[Ação a Realizar]]="Aceitar",3,2))</f>
        <v>1</v>
      </c>
      <c r="K11" s="77" t="s">
        <v>116</v>
      </c>
      <c r="L11" s="60" t="s">
        <v>217</v>
      </c>
      <c r="M11" s="60" t="s">
        <v>16</v>
      </c>
      <c r="N11" s="127">
        <v>41609</v>
      </c>
      <c r="O11" s="75"/>
      <c r="P11" s="105" t="s">
        <v>191</v>
      </c>
      <c r="Q11" s="128" t="s">
        <v>191</v>
      </c>
      <c r="R11" s="107" t="s">
        <v>190</v>
      </c>
      <c r="S11" s="108" t="s">
        <v>190</v>
      </c>
      <c r="T11" s="108" t="s">
        <v>190</v>
      </c>
      <c r="U11" s="108" t="s">
        <v>190</v>
      </c>
      <c r="V11" s="108" t="s">
        <v>190</v>
      </c>
      <c r="W11" s="108" t="s">
        <v>190</v>
      </c>
      <c r="X11" s="109" t="s">
        <v>190</v>
      </c>
    </row>
    <row r="12" spans="1:24" ht="47.25" x14ac:dyDescent="0.25">
      <c r="B12" s="129">
        <f>Identificar!B11</f>
        <v>5</v>
      </c>
      <c r="C12" s="67" t="str">
        <f>Identificar!D11</f>
        <v>Certificação chip junto a bandeira MasterCard.</v>
      </c>
      <c r="D12" s="59">
        <f>Tabela2[[#This Row],[G]]</f>
        <v>5.5</v>
      </c>
      <c r="E12" s="218">
        <f>Tabela24[[#This Row],[Vlr Contingência]]</f>
        <v>24000</v>
      </c>
      <c r="F12" s="218" t="str">
        <f>Tabela24[[#This Row],[Ação]]</f>
        <v>Sim</v>
      </c>
      <c r="G12" s="60" t="str">
        <f>IF(D12&lt;=6,IF(D12&gt;=3,Indicadores!B57,Indicadores!B58),Indicadores!B56)</f>
        <v>Contingenciar ou Transferir</v>
      </c>
      <c r="H12" s="98">
        <f>IF(Tabela22[[#This Row],[Ação Sugerida]]="Mitigar",1,IF(Tabela22[[#This Row],[Ação Sugerida]]="Aceitar",3,2))</f>
        <v>2</v>
      </c>
      <c r="I12" s="115" t="s">
        <v>1</v>
      </c>
      <c r="J12" s="115">
        <f>IF(Tabela22[[#This Row],[Ação a Realizar]]="Mitigar",1,IF(Tabela22[[#This Row],[Ação a Realizar]]="Aceitar",3,2))</f>
        <v>1</v>
      </c>
      <c r="K12" s="77" t="s">
        <v>115</v>
      </c>
      <c r="L12" s="60" t="s">
        <v>217</v>
      </c>
      <c r="M12" s="60" t="s">
        <v>16</v>
      </c>
      <c r="N12" s="127">
        <v>41364</v>
      </c>
      <c r="O12" s="75"/>
      <c r="P12" s="105" t="s">
        <v>191</v>
      </c>
      <c r="Q12" s="128" t="s">
        <v>205</v>
      </c>
      <c r="R12" s="107" t="s">
        <v>190</v>
      </c>
      <c r="S12" s="108" t="s">
        <v>190</v>
      </c>
      <c r="T12" s="108" t="s">
        <v>190</v>
      </c>
      <c r="U12" s="108" t="s">
        <v>190</v>
      </c>
      <c r="V12" s="108" t="s">
        <v>190</v>
      </c>
      <c r="W12" s="108" t="s">
        <v>190</v>
      </c>
      <c r="X12" s="109" t="s">
        <v>190</v>
      </c>
    </row>
    <row r="13" spans="1:24" ht="31.5" x14ac:dyDescent="0.25">
      <c r="B13" s="129">
        <f>Identificar!B12</f>
        <v>6</v>
      </c>
      <c r="C13" s="67" t="str">
        <f>Identificar!D12</f>
        <v>Complexidade nas entregas de fornecedores externos (IBM / Accenture / Totvs / Tivit / CSU).</v>
      </c>
      <c r="D13" s="59">
        <f>Tabela2[[#This Row],[G]]</f>
        <v>4.0999999999999996</v>
      </c>
      <c r="E13" s="218">
        <f>Tabela24[[#This Row],[Vlr Contingência]]</f>
        <v>42000</v>
      </c>
      <c r="F13" s="218" t="str">
        <f>Tabela24[[#This Row],[Ação]]</f>
        <v>Sim</v>
      </c>
      <c r="G13" s="60" t="str">
        <f>IF(D13&lt;=6,IF(D13&gt;=3,Indicadores!B57,Indicadores!B58),Indicadores!B56)</f>
        <v>Contingenciar ou Transferir</v>
      </c>
      <c r="H13" s="98">
        <f>IF(Tabela22[[#This Row],[Ação Sugerida]]="Mitigar",1,IF(Tabela22[[#This Row],[Ação Sugerida]]="Aceitar",3,2))</f>
        <v>2</v>
      </c>
      <c r="I13" s="115" t="s">
        <v>113</v>
      </c>
      <c r="J13" s="115">
        <f>IF(Tabela22[[#This Row],[Ação a Realizar]]="Mitigar",1,IF(Tabela22[[#This Row],[Ação a Realizar]]="Aceitar",3,2))</f>
        <v>2</v>
      </c>
      <c r="K13" s="77" t="s">
        <v>114</v>
      </c>
      <c r="L13" s="60" t="s">
        <v>219</v>
      </c>
      <c r="M13" s="60" t="s">
        <v>16</v>
      </c>
      <c r="N13" s="60" t="s">
        <v>199</v>
      </c>
      <c r="O13" s="75"/>
      <c r="P13" s="105" t="s">
        <v>191</v>
      </c>
      <c r="Q13" s="128" t="s">
        <v>204</v>
      </c>
      <c r="R13" s="107" t="s">
        <v>189</v>
      </c>
      <c r="S13" s="108" t="s">
        <v>189</v>
      </c>
      <c r="T13" s="108" t="s">
        <v>190</v>
      </c>
      <c r="U13" s="108" t="s">
        <v>190</v>
      </c>
      <c r="V13" s="108" t="s">
        <v>190</v>
      </c>
      <c r="W13" s="108" t="s">
        <v>189</v>
      </c>
      <c r="X13" s="109" t="s">
        <v>189</v>
      </c>
    </row>
    <row r="14" spans="1:24" ht="47.25" x14ac:dyDescent="0.25">
      <c r="B14" s="129">
        <f>Identificar!B13</f>
        <v>7</v>
      </c>
      <c r="C14" s="67" t="str">
        <f>Identificar!D13</f>
        <v>Alterações no processo de integração TERMINAL FINANCEIRO - Atraso na entrega da integração com serviços.</v>
      </c>
      <c r="D14" s="59">
        <f>Tabela2[[#This Row],[G]]</f>
        <v>6.58</v>
      </c>
      <c r="E14" s="218">
        <f>Tabela24[[#This Row],[Vlr Contingência]]</f>
        <v>36000</v>
      </c>
      <c r="F14" s="218" t="str">
        <f>Tabela24[[#This Row],[Ação]]</f>
        <v>Sim</v>
      </c>
      <c r="G14" s="60" t="str">
        <f>IF(D14&lt;=6,IF(D14&gt;=3,Indicadores!B57,Indicadores!B58),Indicadores!B56)</f>
        <v>Mitigar</v>
      </c>
      <c r="H14" s="98">
        <f>IF(Tabela22[[#This Row],[Ação Sugerida]]="Mitigar",1,IF(Tabela22[[#This Row],[Ação Sugerida]]="Aceitar",3,2))</f>
        <v>1</v>
      </c>
      <c r="I14" s="60" t="s">
        <v>1</v>
      </c>
      <c r="J14" s="60">
        <f>IF(Tabela22[[#This Row],[Ação a Realizar]]="Mitigar",1,IF(Tabela22[[#This Row],[Ação a Realizar]]="Aceitar",3,2))</f>
        <v>1</v>
      </c>
      <c r="K14" s="77" t="s">
        <v>118</v>
      </c>
      <c r="L14" s="60" t="s">
        <v>220</v>
      </c>
      <c r="M14" s="60" t="s">
        <v>16</v>
      </c>
      <c r="N14" s="60" t="s">
        <v>199</v>
      </c>
      <c r="O14" s="76"/>
      <c r="P14" s="105" t="s">
        <v>206</v>
      </c>
      <c r="Q14" s="128" t="s">
        <v>191</v>
      </c>
      <c r="R14" s="107" t="s">
        <v>189</v>
      </c>
      <c r="S14" s="108" t="s">
        <v>189</v>
      </c>
      <c r="T14" s="108" t="s">
        <v>190</v>
      </c>
      <c r="U14" s="108" t="s">
        <v>190</v>
      </c>
      <c r="V14" s="108" t="s">
        <v>190</v>
      </c>
      <c r="W14" s="108" t="s">
        <v>189</v>
      </c>
      <c r="X14" s="109" t="s">
        <v>189</v>
      </c>
    </row>
    <row r="15" spans="1:24" ht="31.5" x14ac:dyDescent="0.25">
      <c r="B15" s="129">
        <f>Identificar!B14</f>
        <v>8</v>
      </c>
      <c r="C15" s="67" t="str">
        <f>Identificar!D14</f>
        <v>Complexidade nas entregas de fornecedores internos técnicos (Arquitetura / Ambientes / Comunicação).</v>
      </c>
      <c r="D15" s="59">
        <f>Tabela2[[#This Row],[G]]</f>
        <v>7.0200000000000005</v>
      </c>
      <c r="E15" s="218">
        <f>Tabela24[[#This Row],[Vlr Contingência]]</f>
        <v>36000</v>
      </c>
      <c r="F15" s="218" t="str">
        <f>Tabela24[[#This Row],[Ação]]</f>
        <v>Sim</v>
      </c>
      <c r="G15" s="60" t="str">
        <f>IF(D15&lt;=6,IF(D15&gt;=3,Indicadores!B57,Indicadores!B58),Indicadores!B56)</f>
        <v>Mitigar</v>
      </c>
      <c r="H15" s="98">
        <f>IF(Tabela22[[#This Row],[Ação Sugerida]]="Mitigar",1,IF(Tabela22[[#This Row],[Ação Sugerida]]="Aceitar",3,2))</f>
        <v>1</v>
      </c>
      <c r="I15" s="60" t="s">
        <v>1</v>
      </c>
      <c r="J15" s="60">
        <f>IF(Tabela22[[#This Row],[Ação a Realizar]]="Mitigar",1,IF(Tabela22[[#This Row],[Ação a Realizar]]="Aceitar",3,2))</f>
        <v>1</v>
      </c>
      <c r="K15" s="77" t="s">
        <v>50</v>
      </c>
      <c r="L15" s="60" t="s">
        <v>221</v>
      </c>
      <c r="M15" s="60" t="s">
        <v>16</v>
      </c>
      <c r="N15" s="60" t="s">
        <v>198</v>
      </c>
      <c r="O15" s="75"/>
      <c r="P15" s="105" t="s">
        <v>191</v>
      </c>
      <c r="Q15" s="128" t="s">
        <v>191</v>
      </c>
      <c r="R15" s="107" t="s">
        <v>189</v>
      </c>
      <c r="S15" s="108" t="s">
        <v>190</v>
      </c>
      <c r="T15" s="108" t="s">
        <v>190</v>
      </c>
      <c r="U15" s="108" t="s">
        <v>190</v>
      </c>
      <c r="V15" s="108" t="s">
        <v>190</v>
      </c>
      <c r="W15" s="108" t="s">
        <v>190</v>
      </c>
      <c r="X15" s="109" t="s">
        <v>190</v>
      </c>
    </row>
    <row r="16" spans="1:24" ht="47.25" x14ac:dyDescent="0.25">
      <c r="B16" s="129">
        <f>Identificar!B15</f>
        <v>9</v>
      </c>
      <c r="C16" s="67" t="str">
        <f>Identificar!D15</f>
        <v>Alterações no escopo do projeto.</v>
      </c>
      <c r="D16" s="59">
        <f>Tabela2[[#This Row],[G]]</f>
        <v>9.3600000000000012</v>
      </c>
      <c r="E16" s="218">
        <f>Tabela24[[#This Row],[Vlr Contingência]]</f>
        <v>480000</v>
      </c>
      <c r="F16" s="218" t="str">
        <f>Tabela24[[#This Row],[Ação]]</f>
        <v>Avaliar</v>
      </c>
      <c r="G16" s="60" t="str">
        <f>IF(D16&lt;=6,IF(D16&gt;=3,Indicadores!B57,Indicadores!B58),Indicadores!B56)</f>
        <v>Mitigar</v>
      </c>
      <c r="H16" s="98">
        <f>IF(Tabela22[[#This Row],[Ação Sugerida]]="Mitigar",1,IF(Tabela22[[#This Row],[Ação Sugerida]]="Aceitar",3,2))</f>
        <v>1</v>
      </c>
      <c r="I16" s="115" t="s">
        <v>117</v>
      </c>
      <c r="J16" s="115">
        <f>IF(Tabela22[[#This Row],[Ação a Realizar]]="Mitigar",1,IF(Tabela22[[#This Row],[Ação a Realizar]]="Aceitar",3,2))</f>
        <v>3</v>
      </c>
      <c r="K16" s="77" t="s">
        <v>55</v>
      </c>
      <c r="L16" s="60" t="s">
        <v>222</v>
      </c>
      <c r="M16" s="60" t="s">
        <v>16</v>
      </c>
      <c r="N16" s="60" t="s">
        <v>198</v>
      </c>
      <c r="O16" s="75"/>
      <c r="P16" s="105" t="s">
        <v>191</v>
      </c>
      <c r="Q16" s="128" t="s">
        <v>203</v>
      </c>
      <c r="R16" s="107" t="s">
        <v>189</v>
      </c>
      <c r="S16" s="108" t="s">
        <v>189</v>
      </c>
      <c r="T16" s="108" t="s">
        <v>189</v>
      </c>
      <c r="U16" s="108" t="s">
        <v>189</v>
      </c>
      <c r="V16" s="108" t="s">
        <v>189</v>
      </c>
      <c r="W16" s="108" t="s">
        <v>189</v>
      </c>
      <c r="X16" s="109" t="s">
        <v>189</v>
      </c>
    </row>
    <row r="17" spans="2:24" ht="31.5" x14ac:dyDescent="0.25">
      <c r="B17" s="129">
        <f>Identificar!B16</f>
        <v>10</v>
      </c>
      <c r="C17" s="67" t="str">
        <f>Identificar!D16</f>
        <v>Concorrências dos recursos do projeto com outros projetos e atividades do dia-a-dia.</v>
      </c>
      <c r="D17" s="59">
        <f>Tabela2[[#This Row],[G]]</f>
        <v>4.76</v>
      </c>
      <c r="E17" s="218">
        <f>Tabela24[[#This Row],[Vlr Contingência]]</f>
        <v>78000</v>
      </c>
      <c r="F17" s="218" t="str">
        <f>Tabela24[[#This Row],[Ação]]</f>
        <v>Sim</v>
      </c>
      <c r="G17" s="60" t="str">
        <f>IF(D17&lt;=6,IF(D17&gt;=3,Indicadores!B57,Indicadores!B58),Indicadores!B56)</f>
        <v>Contingenciar ou Transferir</v>
      </c>
      <c r="H17" s="98">
        <f>IF(Tabela22[[#This Row],[Ação Sugerida]]="Mitigar",1,IF(Tabela22[[#This Row],[Ação Sugerida]]="Aceitar",3,2))</f>
        <v>2</v>
      </c>
      <c r="I17" s="115" t="s">
        <v>1</v>
      </c>
      <c r="J17" s="115">
        <f>IF(Tabela22[[#This Row],[Ação a Realizar]]="Mitigar",1,IF(Tabela22[[#This Row],[Ação a Realizar]]="Aceitar",3,2))</f>
        <v>1</v>
      </c>
      <c r="K17" s="77" t="s">
        <v>119</v>
      </c>
      <c r="L17" s="60" t="s">
        <v>223</v>
      </c>
      <c r="M17" s="60" t="s">
        <v>16</v>
      </c>
      <c r="N17" s="60" t="s">
        <v>198</v>
      </c>
      <c r="O17" s="75"/>
      <c r="P17" s="105" t="s">
        <v>207</v>
      </c>
      <c r="Q17" s="128" t="s">
        <v>203</v>
      </c>
      <c r="R17" s="107" t="s">
        <v>190</v>
      </c>
      <c r="S17" s="108" t="s">
        <v>190</v>
      </c>
      <c r="T17" s="108" t="s">
        <v>190</v>
      </c>
      <c r="U17" s="108" t="s">
        <v>190</v>
      </c>
      <c r="V17" s="108" t="s">
        <v>190</v>
      </c>
      <c r="W17" s="108" t="s">
        <v>190</v>
      </c>
      <c r="X17" s="109" t="s">
        <v>190</v>
      </c>
    </row>
    <row r="18" spans="2:24" ht="47.25" x14ac:dyDescent="0.25">
      <c r="B18" s="129">
        <f>Identificar!B17</f>
        <v>11</v>
      </c>
      <c r="C18" s="67" t="str">
        <f>Identificar!D17</f>
        <v>Não envolvimento efetivo dos patrocinadores e stakeholders no projeto.</v>
      </c>
      <c r="D18" s="59">
        <f>Tabela2[[#This Row],[G]]</f>
        <v>2.4960000000000004</v>
      </c>
      <c r="E18" s="218">
        <f>Tabela24[[#This Row],[Vlr Contingência]]</f>
        <v>36000</v>
      </c>
      <c r="F18" s="218" t="str">
        <f>Tabela24[[#This Row],[Ação]]</f>
        <v>Sim</v>
      </c>
      <c r="G18" s="60" t="str">
        <f>IF(D18&lt;=6,IF(D18&gt;=3,Indicadores!B57,Indicadores!B58),Indicadores!B56)</f>
        <v>Aceitar</v>
      </c>
      <c r="H18" s="98">
        <f>IF(Tabela22[[#This Row],[Ação Sugerida]]="Mitigar",1,IF(Tabela22[[#This Row],[Ação Sugerida]]="Aceitar",3,2))</f>
        <v>3</v>
      </c>
      <c r="I18" s="115" t="s">
        <v>117</v>
      </c>
      <c r="J18" s="60">
        <f>IF(Tabela22[[#This Row],[Ação a Realizar]]="Mitigar",1,IF(Tabela22[[#This Row],[Ação a Realizar]]="Aceitar",3,2))</f>
        <v>3</v>
      </c>
      <c r="K18" s="77" t="s">
        <v>201</v>
      </c>
      <c r="L18" s="60" t="s">
        <v>222</v>
      </c>
      <c r="M18" s="60" t="s">
        <v>16</v>
      </c>
      <c r="N18" s="60" t="s">
        <v>198</v>
      </c>
      <c r="O18" s="76">
        <v>41551</v>
      </c>
      <c r="P18" s="105" t="s">
        <v>208</v>
      </c>
      <c r="Q18" s="128" t="s">
        <v>191</v>
      </c>
      <c r="R18" s="107" t="s">
        <v>190</v>
      </c>
      <c r="S18" s="108" t="s">
        <v>190</v>
      </c>
      <c r="T18" s="108" t="s">
        <v>190</v>
      </c>
      <c r="U18" s="108" t="s">
        <v>190</v>
      </c>
      <c r="V18" s="108" t="s">
        <v>190</v>
      </c>
      <c r="W18" s="108" t="s">
        <v>190</v>
      </c>
      <c r="X18" s="109" t="s">
        <v>190</v>
      </c>
    </row>
    <row r="19" spans="2:24" ht="31.5" x14ac:dyDescent="0.25">
      <c r="B19" s="129">
        <f>Identificar!B18</f>
        <v>12</v>
      </c>
      <c r="C19" s="67" t="str">
        <f>Identificar!D18</f>
        <v>Não cumprimento dos prazos de entregas definidos no cronograma do projeto.</v>
      </c>
      <c r="D19" s="59">
        <f>Tabela2[[#This Row],[G]]</f>
        <v>4.2</v>
      </c>
      <c r="E19" s="218">
        <f>Tabela24[[#This Row],[Vlr Contingência]]</f>
        <v>160000</v>
      </c>
      <c r="F19" s="218" t="str">
        <f>Tabela24[[#This Row],[Ação]]</f>
        <v>Avaliar</v>
      </c>
      <c r="G19" s="60" t="str">
        <f>IF(D19&lt;=6,IF(D19&gt;=3,Indicadores!B57,Indicadores!B58),Indicadores!B56)</f>
        <v>Contingenciar ou Transferir</v>
      </c>
      <c r="H19" s="98">
        <f>IF(Tabela22[[#This Row],[Ação Sugerida]]="Mitigar",1,IF(Tabela22[[#This Row],[Ação Sugerida]]="Aceitar",3,2))</f>
        <v>2</v>
      </c>
      <c r="I19" s="60" t="s">
        <v>202</v>
      </c>
      <c r="J19" s="60">
        <f>IF(Tabela22[[#This Row],[Ação a Realizar]]="Mitigar",1,IF(Tabela22[[#This Row],[Ação a Realizar]]="Aceitar",3,2))</f>
        <v>2</v>
      </c>
      <c r="K19" s="77" t="s">
        <v>209</v>
      </c>
      <c r="L19" s="60" t="s">
        <v>216</v>
      </c>
      <c r="M19" s="60" t="s">
        <v>16</v>
      </c>
      <c r="N19" s="60" t="s">
        <v>198</v>
      </c>
      <c r="O19" s="75"/>
      <c r="P19" s="105" t="s">
        <v>210</v>
      </c>
      <c r="Q19" s="128" t="s">
        <v>203</v>
      </c>
      <c r="R19" s="107" t="s">
        <v>189</v>
      </c>
      <c r="S19" s="108" t="s">
        <v>189</v>
      </c>
      <c r="T19" s="108" t="s">
        <v>189</v>
      </c>
      <c r="U19" s="108" t="s">
        <v>189</v>
      </c>
      <c r="V19" s="108" t="s">
        <v>189</v>
      </c>
      <c r="W19" s="108" t="s">
        <v>190</v>
      </c>
      <c r="X19" s="109" t="s">
        <v>190</v>
      </c>
    </row>
    <row r="20" spans="2:24" ht="63" x14ac:dyDescent="0.25">
      <c r="B20" s="129">
        <f>Identificar!B19</f>
        <v>13</v>
      </c>
      <c r="C20" s="67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D20" s="59">
        <f>Tabela2[[#This Row],[G]]</f>
        <v>4.76</v>
      </c>
      <c r="E20" s="218">
        <f>Tabela24[[#This Row],[Vlr Contingência]]</f>
        <v>78000</v>
      </c>
      <c r="F20" s="218" t="str">
        <f>Tabela24[[#This Row],[Ação]]</f>
        <v>Sim</v>
      </c>
      <c r="G20" s="60" t="str">
        <f>IF(D20&lt;=6,IF(D20&gt;=3,Indicadores!B57,Indicadores!B58),Indicadores!B56)</f>
        <v>Contingenciar ou Transferir</v>
      </c>
      <c r="H20" s="98">
        <f>IF(Tabela22[[#This Row],[Ação Sugerida]]="Mitigar",1,IF(Tabela22[[#This Row],[Ação Sugerida]]="Aceitar",3,2))</f>
        <v>2</v>
      </c>
      <c r="I20" s="115" t="s">
        <v>1</v>
      </c>
      <c r="J20" s="115">
        <f>IF(Tabela22[[#This Row],[Ação a Realizar]]="Mitigar",1,IF(Tabela22[[#This Row],[Ação a Realizar]]="Aceitar",3,2))</f>
        <v>1</v>
      </c>
      <c r="K20" s="77" t="s">
        <v>54</v>
      </c>
      <c r="L20" s="60" t="s">
        <v>223</v>
      </c>
      <c r="M20" s="60" t="s">
        <v>16</v>
      </c>
      <c r="N20" s="60" t="s">
        <v>198</v>
      </c>
      <c r="O20" s="75"/>
      <c r="P20" s="105" t="s">
        <v>211</v>
      </c>
      <c r="Q20" s="128" t="s">
        <v>191</v>
      </c>
      <c r="R20" s="107" t="s">
        <v>189</v>
      </c>
      <c r="S20" s="108" t="s">
        <v>190</v>
      </c>
      <c r="T20" s="108" t="s">
        <v>190</v>
      </c>
      <c r="U20" s="108" t="s">
        <v>190</v>
      </c>
      <c r="V20" s="108" t="s">
        <v>190</v>
      </c>
      <c r="W20" s="108" t="s">
        <v>190</v>
      </c>
      <c r="X20" s="109" t="s">
        <v>190</v>
      </c>
    </row>
    <row r="21" spans="2:24" ht="31.5" x14ac:dyDescent="0.25">
      <c r="B21" s="129">
        <f>Identificar!B20</f>
        <v>14</v>
      </c>
      <c r="C21" s="67" t="str">
        <f>Identificar!D20</f>
        <v>Alteração de processos operacionais vitais para a continuidade de negócio e de back-office (processamento e conciliação dos sistemas).</v>
      </c>
      <c r="D21" s="59">
        <f>Tabela2[[#This Row],[G]]</f>
        <v>4.3200000000000012</v>
      </c>
      <c r="E21" s="218">
        <f>Tabela24[[#This Row],[Vlr Contingência]]</f>
        <v>0</v>
      </c>
      <c r="F21" s="218" t="str">
        <f>Tabela24[[#This Row],[Ação]]</f>
        <v>Sim</v>
      </c>
      <c r="G21" s="60" t="str">
        <f>IF(D21&lt;=6,IF(D21&gt;=3,Indicadores!B57,Indicadores!B58),Indicadores!B56)</f>
        <v>Contingenciar ou Transferir</v>
      </c>
      <c r="H21" s="98">
        <f>IF(Tabela22[[#This Row],[Ação Sugerida]]="Mitigar",1,IF(Tabela22[[#This Row],[Ação Sugerida]]="Aceitar",3,2))</f>
        <v>2</v>
      </c>
      <c r="I21" s="60" t="s">
        <v>202</v>
      </c>
      <c r="J21" s="60">
        <f>IF(Tabela22[[#This Row],[Ação a Realizar]]="Mitigar",1,IF(Tabela22[[#This Row],[Ação a Realizar]]="Aceitar",3,2))</f>
        <v>2</v>
      </c>
      <c r="K21" s="77" t="s">
        <v>52</v>
      </c>
      <c r="L21" s="60" t="s">
        <v>216</v>
      </c>
      <c r="M21" s="60" t="s">
        <v>16</v>
      </c>
      <c r="N21" s="60" t="s">
        <v>180</v>
      </c>
      <c r="O21" s="75"/>
      <c r="P21" s="105" t="s">
        <v>213</v>
      </c>
      <c r="Q21" s="128" t="s">
        <v>212</v>
      </c>
      <c r="R21" s="107" t="s">
        <v>189</v>
      </c>
      <c r="S21" s="108" t="s">
        <v>189</v>
      </c>
      <c r="T21" s="108" t="s">
        <v>189</v>
      </c>
      <c r="U21" s="108" t="s">
        <v>189</v>
      </c>
      <c r="V21" s="108" t="s">
        <v>189</v>
      </c>
      <c r="W21" s="108" t="s">
        <v>190</v>
      </c>
      <c r="X21" s="109" t="s">
        <v>190</v>
      </c>
    </row>
    <row r="22" spans="2:24" ht="31.5" x14ac:dyDescent="0.25">
      <c r="B22" s="129">
        <f>Identificar!B21</f>
        <v>15</v>
      </c>
      <c r="C22" s="67" t="str">
        <f>Identificar!D21</f>
        <v>Complexidade no desenvolvimento dos novos serviços no sistema.</v>
      </c>
      <c r="D22" s="59">
        <f>Tabela2[[#This Row],[G]]</f>
        <v>5.46</v>
      </c>
      <c r="E22" s="218">
        <f>Tabela24[[#This Row],[Vlr Contingência]]</f>
        <v>320000</v>
      </c>
      <c r="F22" s="218" t="str">
        <f>Tabela24[[#This Row],[Ação]]</f>
        <v>Avaliar</v>
      </c>
      <c r="G22" s="60" t="str">
        <f>IF(D22&lt;=6,IF(D22&gt;=3,Indicadores!B57,Indicadores!B58),Indicadores!B56)</f>
        <v>Contingenciar ou Transferir</v>
      </c>
      <c r="H22" s="98">
        <f>IF(Tabela22[[#This Row],[Ação Sugerida]]="Mitigar",1,IF(Tabela22[[#This Row],[Ação Sugerida]]="Aceitar",3,2))</f>
        <v>2</v>
      </c>
      <c r="I22" s="115" t="s">
        <v>202</v>
      </c>
      <c r="J22" s="60">
        <f>IF(Tabela22[[#This Row],[Ação a Realizar]]="Mitigar",1,IF(Tabela22[[#This Row],[Ação a Realizar]]="Aceitar",3,2))</f>
        <v>2</v>
      </c>
      <c r="K22" s="77" t="s">
        <v>53</v>
      </c>
      <c r="L22" s="60" t="s">
        <v>218</v>
      </c>
      <c r="M22" s="60" t="s">
        <v>16</v>
      </c>
      <c r="N22" s="60" t="s">
        <v>199</v>
      </c>
      <c r="O22" s="75"/>
      <c r="P22" s="105" t="s">
        <v>207</v>
      </c>
      <c r="Q22" s="128" t="s">
        <v>203</v>
      </c>
      <c r="R22" s="107" t="s">
        <v>189</v>
      </c>
      <c r="S22" s="108" t="s">
        <v>189</v>
      </c>
      <c r="T22" s="108" t="s">
        <v>189</v>
      </c>
      <c r="U22" s="108" t="s">
        <v>189</v>
      </c>
      <c r="V22" s="108" t="s">
        <v>190</v>
      </c>
      <c r="W22" s="108" t="s">
        <v>189</v>
      </c>
      <c r="X22" s="109" t="s">
        <v>189</v>
      </c>
    </row>
    <row r="23" spans="2:24" ht="31.5" x14ac:dyDescent="0.25">
      <c r="B23" s="129">
        <f>Identificar!B22</f>
        <v>16</v>
      </c>
      <c r="C23" s="67" t="str">
        <f>Identificar!D22</f>
        <v>Falta de recursos para realização do processo de homologação por parte da área de Qualidade</v>
      </c>
      <c r="D23" s="59">
        <f>Tabela2[[#This Row],[G]]</f>
        <v>5.46</v>
      </c>
      <c r="E23" s="218">
        <f>Tabela24[[#This Row],[Vlr Contingência]]</f>
        <v>120000</v>
      </c>
      <c r="F23" s="218" t="str">
        <f>Tabela24[[#This Row],[Ação]]</f>
        <v>Sim</v>
      </c>
      <c r="G23" s="60" t="str">
        <f>IF(D23&lt;=6,IF(D23&gt;=3,Indicadores!B57,Indicadores!B58),Indicadores!B56)</f>
        <v>Contingenciar ou Transferir</v>
      </c>
      <c r="H23" s="98">
        <f>IF(Tabela22[[#This Row],[Ação Sugerida]]="Mitigar",1,IF(Tabela22[[#This Row],[Ação Sugerida]]="Aceitar",3,2))</f>
        <v>2</v>
      </c>
      <c r="I23" s="115" t="s">
        <v>202</v>
      </c>
      <c r="J23" s="60">
        <f>IF(Tabela22[[#This Row],[Ação a Realizar]]="Mitigar",1,IF(Tabela22[[#This Row],[Ação a Realizar]]="Aceitar",3,2))</f>
        <v>2</v>
      </c>
      <c r="K23" s="77" t="s">
        <v>156</v>
      </c>
      <c r="L23" s="60" t="s">
        <v>216</v>
      </c>
      <c r="M23" s="60" t="s">
        <v>16</v>
      </c>
      <c r="N23" s="60" t="s">
        <v>180</v>
      </c>
      <c r="O23" s="75"/>
      <c r="P23" s="105" t="s">
        <v>214</v>
      </c>
      <c r="Q23" s="128" t="s">
        <v>215</v>
      </c>
      <c r="R23" s="107" t="s">
        <v>189</v>
      </c>
      <c r="S23" s="108" t="s">
        <v>189</v>
      </c>
      <c r="T23" s="108" t="s">
        <v>189</v>
      </c>
      <c r="U23" s="108" t="s">
        <v>189</v>
      </c>
      <c r="V23" s="108" t="s">
        <v>190</v>
      </c>
      <c r="W23" s="108" t="s">
        <v>190</v>
      </c>
      <c r="X23" s="109" t="s">
        <v>190</v>
      </c>
    </row>
    <row r="24" spans="2:24" ht="68.25" customHeight="1" x14ac:dyDescent="0.25">
      <c r="B24" s="129">
        <f>Identificar!B23</f>
        <v>17</v>
      </c>
      <c r="C24" s="67" t="str">
        <f>Identificar!D23</f>
        <v>Falha no detalhamento (densidade) da especificação funcional e artefatos acessórios.</v>
      </c>
      <c r="D24" s="59">
        <f>Tabela2[[#This Row],[G]]</f>
        <v>3.9000000000000004</v>
      </c>
      <c r="E24" s="218">
        <f>Tabela24[[#This Row],[Vlr Contingência]]</f>
        <v>320000</v>
      </c>
      <c r="F24" s="218" t="str">
        <f>Tabela24[[#This Row],[Ação]]</f>
        <v>Avaliar</v>
      </c>
      <c r="G24" s="115" t="str">
        <f>IF(D24&lt;=6,IF(D24&gt;=3,Indicadores!B57,Indicadores!B58),Indicadores!B56)</f>
        <v>Contingenciar ou Transferir</v>
      </c>
      <c r="H24" s="114">
        <f>IF(Tabela22[[#This Row],[Ação Sugerida]]="Mitigar",1,IF(Tabela22[[#This Row],[Ação Sugerida]]="Aceitar",3,2))</f>
        <v>2</v>
      </c>
      <c r="I24" s="115" t="s">
        <v>1</v>
      </c>
      <c r="J24" s="60">
        <f>IF(Tabela22[[#This Row],[Ação a Realizar]]="Mitigar",1,IF(Tabela22[[#This Row],[Ação a Realizar]]="Aceitar",3,2))</f>
        <v>1</v>
      </c>
      <c r="K24" s="77" t="s">
        <v>120</v>
      </c>
      <c r="L24" s="60" t="s">
        <v>224</v>
      </c>
      <c r="M24" s="60" t="s">
        <v>16</v>
      </c>
      <c r="N24" s="60" t="s">
        <v>180</v>
      </c>
      <c r="O24" s="75"/>
      <c r="P24" s="105" t="s">
        <v>225</v>
      </c>
      <c r="Q24" s="128" t="s">
        <v>215</v>
      </c>
      <c r="R24" s="107" t="s">
        <v>190</v>
      </c>
      <c r="S24" s="108" t="s">
        <v>190</v>
      </c>
      <c r="T24" s="108" t="s">
        <v>190</v>
      </c>
      <c r="U24" s="108" t="s">
        <v>190</v>
      </c>
      <c r="V24" s="108" t="s">
        <v>190</v>
      </c>
      <c r="W24" s="108" t="s">
        <v>190</v>
      </c>
      <c r="X24" s="109" t="s">
        <v>190</v>
      </c>
    </row>
    <row r="25" spans="2:24" ht="31.5" x14ac:dyDescent="0.25">
      <c r="B25" s="129">
        <f>Identificar!B24</f>
        <v>18</v>
      </c>
      <c r="C25" s="67" t="str">
        <f>Identificar!D24</f>
        <v>Qualidade nas entregas dos provedores pode comprometer cronograma.</v>
      </c>
      <c r="D25" s="59">
        <f>Tabela2[[#This Row],[G]]</f>
        <v>2.4960000000000004</v>
      </c>
      <c r="E25" s="218">
        <f>Tabela24[[#This Row],[Vlr Contingência]]</f>
        <v>400000</v>
      </c>
      <c r="F25" s="218" t="str">
        <f>Tabela24[[#This Row],[Ação]]</f>
        <v>Avaliar</v>
      </c>
      <c r="G25" s="115" t="str">
        <f>IF(D25&lt;=6,IF(D25&gt;=3,Indicadores!B57,Indicadores!B58),Indicadores!B56)</f>
        <v>Aceitar</v>
      </c>
      <c r="H25" s="114">
        <f>IF(Tabela22[[#This Row],[Ação Sugerida]]="Mitigar",1,IF(Tabela22[[#This Row],[Ação Sugerida]]="Aceitar",3,2))</f>
        <v>3</v>
      </c>
      <c r="I25" s="115" t="s">
        <v>1</v>
      </c>
      <c r="J25" s="60">
        <f>IF(Tabela22[[#This Row],[Ação a Realizar]]="Mitigar",1,IF(Tabela22[[#This Row],[Ação a Realizar]]="Aceitar",3,2))</f>
        <v>1</v>
      </c>
      <c r="K25" s="77" t="s">
        <v>51</v>
      </c>
      <c r="L25" s="60" t="s">
        <v>216</v>
      </c>
      <c r="M25" s="60" t="s">
        <v>16</v>
      </c>
      <c r="N25" s="60" t="s">
        <v>180</v>
      </c>
      <c r="O25" s="75"/>
      <c r="P25" s="105" t="s">
        <v>215</v>
      </c>
      <c r="Q25" s="128" t="s">
        <v>226</v>
      </c>
      <c r="R25" s="107" t="s">
        <v>190</v>
      </c>
      <c r="S25" s="108" t="s">
        <v>190</v>
      </c>
      <c r="T25" s="108" t="s">
        <v>190</v>
      </c>
      <c r="U25" s="108" t="s">
        <v>190</v>
      </c>
      <c r="V25" s="108" t="s">
        <v>190</v>
      </c>
      <c r="W25" s="108" t="s">
        <v>190</v>
      </c>
      <c r="X25" s="109" t="s">
        <v>190</v>
      </c>
    </row>
    <row r="26" spans="2:24" ht="39.75" customHeight="1" x14ac:dyDescent="0.25">
      <c r="B26" s="129">
        <f>Identificar!B25</f>
        <v>19</v>
      </c>
      <c r="C26" s="67" t="str">
        <f>Identificar!D25</f>
        <v>Não conformidade do sistema com relação ao escopo do projeto.</v>
      </c>
      <c r="D26" s="59">
        <f>Tabela2[[#This Row],[G]]</f>
        <v>3.9000000000000004</v>
      </c>
      <c r="E26" s="218">
        <f>Tabela24[[#This Row],[Vlr Contingência]]</f>
        <v>156000</v>
      </c>
      <c r="F26" s="218" t="str">
        <f>Tabela24[[#This Row],[Ação]]</f>
        <v>Avaliar</v>
      </c>
      <c r="G26" s="60" t="str">
        <f>IF(D26&lt;=6,IF(D26&gt;=3,Indicadores!B57,Indicadores!B58),Indicadores!B56)</f>
        <v>Contingenciar ou Transferir</v>
      </c>
      <c r="H26" s="98">
        <f>IF(Tabela22[[#This Row],[Ação Sugerida]]="Mitigar",1,IF(Tabela22[[#This Row],[Ação Sugerida]]="Aceitar",3,2))</f>
        <v>2</v>
      </c>
      <c r="I26" s="115" t="s">
        <v>1</v>
      </c>
      <c r="J26" s="60">
        <f>IF(Tabela22[[#This Row],[Ação a Realizar]]="Mitigar",1,IF(Tabela22[[#This Row],[Ação a Realizar]]="Aceitar",3,2))</f>
        <v>1</v>
      </c>
      <c r="K26" s="77" t="s">
        <v>121</v>
      </c>
      <c r="L26" s="60" t="s">
        <v>216</v>
      </c>
      <c r="M26" s="60" t="s">
        <v>16</v>
      </c>
      <c r="N26" s="60" t="s">
        <v>180</v>
      </c>
      <c r="O26" s="75"/>
      <c r="P26" s="105" t="s">
        <v>227</v>
      </c>
      <c r="Q26" s="128" t="s">
        <v>226</v>
      </c>
      <c r="R26" s="107" t="s">
        <v>189</v>
      </c>
      <c r="S26" s="108" t="s">
        <v>189</v>
      </c>
      <c r="T26" s="108" t="s">
        <v>189</v>
      </c>
      <c r="U26" s="108" t="s">
        <v>190</v>
      </c>
      <c r="V26" s="108" t="s">
        <v>190</v>
      </c>
      <c r="W26" s="108" t="s">
        <v>189</v>
      </c>
      <c r="X26" s="109" t="s">
        <v>189</v>
      </c>
    </row>
    <row r="27" spans="2:24" ht="31.5" x14ac:dyDescent="0.25">
      <c r="B27" s="129">
        <f>Identificar!B26</f>
        <v>20</v>
      </c>
      <c r="C27" s="67" t="str">
        <f>Identificar!D26</f>
        <v>Inclusão de novos produtos no escopo do projeto .</v>
      </c>
      <c r="D27" s="59">
        <f>Tabela2[[#This Row],[G]]</f>
        <v>5.7</v>
      </c>
      <c r="E27" s="218">
        <f>Tabela24[[#This Row],[Vlr Contingência]]</f>
        <v>560000</v>
      </c>
      <c r="F27" s="218" t="str">
        <f>Tabela24[[#This Row],[Ação]]</f>
        <v>Avaliar</v>
      </c>
      <c r="G27" s="60" t="str">
        <f>IF(D27&lt;=6,IF(D27&gt;=3,Indicadores!B57,Indicadores!B58),Indicadores!B56)</f>
        <v>Contingenciar ou Transferir</v>
      </c>
      <c r="H27" s="98">
        <f>IF(Tabela22[[#This Row],[Ação Sugerida]]="Mitigar",1,IF(Tabela22[[#This Row],[Ação Sugerida]]="Aceitar",3,2))</f>
        <v>2</v>
      </c>
      <c r="I27" s="115" t="s">
        <v>259</v>
      </c>
      <c r="J27" s="60">
        <f>IF(Tabela22[[#This Row],[Ação a Realizar]]="Mitigar",1,IF(Tabela22[[#This Row],[Ação a Realizar]]="Aceitar",3,2))</f>
        <v>2</v>
      </c>
      <c r="K27" s="77" t="s">
        <v>122</v>
      </c>
      <c r="L27" s="60" t="s">
        <v>216</v>
      </c>
      <c r="M27" s="60" t="s">
        <v>16</v>
      </c>
      <c r="N27" s="60" t="s">
        <v>199</v>
      </c>
      <c r="O27" s="75"/>
      <c r="P27" s="105" t="s">
        <v>228</v>
      </c>
      <c r="Q27" s="128" t="s">
        <v>191</v>
      </c>
      <c r="R27" s="107" t="s">
        <v>190</v>
      </c>
      <c r="S27" s="108" t="s">
        <v>190</v>
      </c>
      <c r="T27" s="108" t="s">
        <v>190</v>
      </c>
      <c r="U27" s="108" t="s">
        <v>190</v>
      </c>
      <c r="V27" s="108" t="s">
        <v>190</v>
      </c>
      <c r="W27" s="108" t="s">
        <v>190</v>
      </c>
      <c r="X27" s="109" t="s">
        <v>190</v>
      </c>
    </row>
  </sheetData>
  <mergeCells count="7">
    <mergeCell ref="E5:F6"/>
    <mergeCell ref="G5:O6"/>
    <mergeCell ref="R5:X6"/>
    <mergeCell ref="B5:C5"/>
    <mergeCell ref="B6:C6"/>
    <mergeCell ref="D5:D6"/>
    <mergeCell ref="P5:Q6"/>
  </mergeCells>
  <conditionalFormatting sqref="D8:D27">
    <cfRule type="colorScale" priority="8">
      <colorScale>
        <cfvo type="num" val="1"/>
        <cfvo type="num" val="4"/>
        <cfvo type="num" val="7"/>
        <color rgb="FF63BE7B"/>
        <color rgb="FFFFEB84"/>
        <color rgb="FFF8696B"/>
      </colorScale>
    </cfRule>
  </conditionalFormatting>
  <conditionalFormatting sqref="F7">
    <cfRule type="cellIs" dxfId="30" priority="3" operator="equal">
      <formula>"Avaliar"</formula>
    </cfRule>
  </conditionalFormatting>
  <conditionalFormatting sqref="F1:F1048576">
    <cfRule type="cellIs" dxfId="29" priority="2" operator="equal">
      <formula>"Avaliar"</formula>
    </cfRule>
  </conditionalFormatting>
  <conditionalFormatting sqref="E8:E27">
    <cfRule type="cellIs" dxfId="28" priority="1" operator="greaterThan">
      <formula>100000</formula>
    </cfRule>
  </conditionalFormatting>
  <dataValidations count="2">
    <dataValidation type="list" allowBlank="1" showInputMessage="1" showErrorMessage="1" sqref="R8:X27">
      <formula1>"SIM,NÃO"</formula1>
    </dataValidation>
    <dataValidation type="list" allowBlank="1" showInputMessage="1" showErrorMessage="1" sqref="B6:C6">
      <formula1>"Custo,Prazo"</formula1>
    </dataValidation>
  </dataValidations>
  <pageMargins left="0.2" right="0.2" top="0.51" bottom="0.78740157480314965" header="0.31496062992125984" footer="0.31496062992125984"/>
  <pageSetup paperSize="9" orientation="landscape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ignoredErrors>
    <ignoredError sqref="C8:C9 C10 G8:G10 G11:G12 G13 G17 G18:G27 C11:C13 G14 C14 G15:G16 C15:C27 G28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showGridLines="0" zoomScale="70" zoomScaleNormal="70" workbookViewId="0">
      <pane ySplit="3" topLeftCell="A4" activePane="bottomLeft" state="frozen"/>
      <selection pane="bottomLeft" activeCell="K28" sqref="K28"/>
    </sheetView>
  </sheetViews>
  <sheetFormatPr defaultRowHeight="21" customHeight="1" outlineLevelRow="2" x14ac:dyDescent="0.25"/>
  <cols>
    <col min="1" max="1" width="3.42578125" style="73" customWidth="1"/>
    <col min="2" max="2" width="8.85546875" style="34" customWidth="1"/>
    <col min="3" max="3" width="8" style="66" customWidth="1"/>
    <col min="4" max="4" width="64.7109375" style="7" customWidth="1"/>
    <col min="5" max="5" width="25.5703125" style="7" customWidth="1"/>
    <col min="6" max="6" width="28.28515625" style="31" customWidth="1"/>
    <col min="7" max="7" width="3.42578125" style="31" hidden="1" customWidth="1"/>
    <col min="8" max="8" width="27" style="31" customWidth="1"/>
    <col min="9" max="9" width="26.5703125" style="31" customWidth="1"/>
    <col min="10" max="10" width="26" style="31" customWidth="1"/>
    <col min="11" max="11" width="35.42578125" customWidth="1"/>
  </cols>
  <sheetData>
    <row r="1" spans="2:11" ht="11.25" customHeight="1" thickBot="1" x14ac:dyDescent="0.3"/>
    <row r="2" spans="2:11" ht="24" thickBot="1" x14ac:dyDescent="0.3">
      <c r="B2" s="355" t="s">
        <v>71</v>
      </c>
      <c r="C2" s="356"/>
      <c r="D2" s="40" t="s">
        <v>268</v>
      </c>
      <c r="E2" s="241"/>
      <c r="F2" s="79"/>
      <c r="G2" s="161"/>
      <c r="H2" s="94"/>
      <c r="I2" s="79"/>
      <c r="J2" s="79"/>
      <c r="K2" s="80"/>
    </row>
    <row r="3" spans="2:11" ht="24" thickBot="1" x14ac:dyDescent="0.3">
      <c r="B3" s="350" t="s">
        <v>72</v>
      </c>
      <c r="C3" s="351"/>
      <c r="D3" s="70" t="s">
        <v>70</v>
      </c>
      <c r="E3" s="72"/>
      <c r="F3" s="72"/>
      <c r="G3" s="72"/>
      <c r="H3" s="72"/>
      <c r="I3" s="72"/>
      <c r="J3" s="72"/>
      <c r="K3" s="71"/>
    </row>
    <row r="4" spans="2:11" s="74" customFormat="1" ht="21" customHeight="1" thickBot="1" x14ac:dyDescent="0.35">
      <c r="B4" s="264" t="s">
        <v>159</v>
      </c>
      <c r="C4" s="265"/>
      <c r="D4" s="265"/>
      <c r="E4" s="265"/>
      <c r="F4" s="265"/>
      <c r="G4" s="265"/>
      <c r="H4" s="265"/>
      <c r="I4" s="265"/>
      <c r="J4" s="265"/>
      <c r="K4" s="265"/>
    </row>
    <row r="5" spans="2:11" ht="21" customHeight="1" x14ac:dyDescent="0.25">
      <c r="B5" s="334" t="s">
        <v>278</v>
      </c>
      <c r="C5" s="335"/>
      <c r="D5" s="336"/>
      <c r="E5" s="343" t="s">
        <v>277</v>
      </c>
      <c r="F5" s="346" t="s">
        <v>161</v>
      </c>
      <c r="G5" s="347"/>
      <c r="H5" s="361" t="s">
        <v>163</v>
      </c>
      <c r="I5" s="361" t="s">
        <v>162</v>
      </c>
      <c r="J5" s="357" t="s">
        <v>229</v>
      </c>
      <c r="K5" s="359" t="s">
        <v>281</v>
      </c>
    </row>
    <row r="6" spans="2:11" ht="21" customHeight="1" x14ac:dyDescent="0.25">
      <c r="B6" s="328">
        <v>41558</v>
      </c>
      <c r="C6" s="329"/>
      <c r="D6" s="330"/>
      <c r="E6" s="344"/>
      <c r="F6" s="348"/>
      <c r="G6" s="349"/>
      <c r="H6" s="362"/>
      <c r="I6" s="362"/>
      <c r="J6" s="358"/>
      <c r="K6" s="360"/>
    </row>
    <row r="7" spans="2:11" ht="21" customHeight="1" thickBot="1" x14ac:dyDescent="0.3">
      <c r="B7" s="331"/>
      <c r="C7" s="332"/>
      <c r="D7" s="333"/>
      <c r="E7" s="345"/>
      <c r="F7" s="350">
        <f>COUNTIF(F10:F29,"ATIVO")</f>
        <v>10</v>
      </c>
      <c r="G7" s="351"/>
      <c r="H7" s="145">
        <f>COUNTIF(F10:F29,"MONITORANDO")</f>
        <v>9</v>
      </c>
      <c r="I7" s="145">
        <f>COUNTIF(F10:F29,"FINALIZADO")</f>
        <v>0</v>
      </c>
      <c r="J7" s="243">
        <f>COUNTIF(F10:F29,"ELIMINADO")</f>
        <v>1</v>
      </c>
      <c r="K7" s="242">
        <f>COUNTIF(F10:F29,"EFETIVADO")</f>
        <v>0</v>
      </c>
    </row>
    <row r="8" spans="2:11" ht="21" customHeight="1" outlineLevel="1" x14ac:dyDescent="0.25">
      <c r="B8" s="352" t="s">
        <v>247</v>
      </c>
      <c r="C8" s="337"/>
      <c r="D8" s="363" t="s">
        <v>0</v>
      </c>
      <c r="E8" s="364"/>
      <c r="F8" s="337" t="s">
        <v>276</v>
      </c>
      <c r="G8" s="337" t="s">
        <v>194</v>
      </c>
      <c r="H8" s="337" t="s">
        <v>15</v>
      </c>
      <c r="I8" s="337" t="s">
        <v>254</v>
      </c>
      <c r="J8" s="337"/>
      <c r="K8" s="341" t="s">
        <v>160</v>
      </c>
    </row>
    <row r="9" spans="2:11" ht="28.5" customHeight="1" outlineLevel="2" thickBot="1" x14ac:dyDescent="0.3">
      <c r="B9" s="353"/>
      <c r="C9" s="338"/>
      <c r="D9" s="365"/>
      <c r="E9" s="366"/>
      <c r="F9" s="338"/>
      <c r="G9" s="338"/>
      <c r="H9" s="338"/>
      <c r="I9" s="167" t="s">
        <v>6</v>
      </c>
      <c r="J9" s="167" t="s">
        <v>5</v>
      </c>
      <c r="K9" s="342"/>
    </row>
    <row r="10" spans="2:11" ht="15.75" outlineLevel="2" x14ac:dyDescent="0.25">
      <c r="B10" s="354">
        <f>Identificar!B7</f>
        <v>1</v>
      </c>
      <c r="C10" s="354"/>
      <c r="D10" s="340" t="str">
        <f>Identificar!D7</f>
        <v>Formalização de abertura do projeto realizada após inicio do planejamento.</v>
      </c>
      <c r="E10" s="340"/>
      <c r="F10" s="98" t="s">
        <v>62</v>
      </c>
      <c r="G10" s="98">
        <f>IF(F10="Ativo",1,IF(F10="Monitorando",2,3))</f>
        <v>1</v>
      </c>
      <c r="H10" s="166"/>
      <c r="I10" s="112" t="s">
        <v>282</v>
      </c>
      <c r="J10" s="112" t="s">
        <v>282</v>
      </c>
      <c r="K10" s="113"/>
    </row>
    <row r="11" spans="2:11" ht="15.75" outlineLevel="2" x14ac:dyDescent="0.25">
      <c r="B11" s="339">
        <f>Identificar!B8</f>
        <v>2</v>
      </c>
      <c r="C11" s="339"/>
      <c r="D11" s="340" t="str">
        <f>Identificar!D8</f>
        <v>Concorrência deste projeto com outros projetos.</v>
      </c>
      <c r="E11" s="340"/>
      <c r="F11" s="60" t="s">
        <v>56</v>
      </c>
      <c r="G11" s="60">
        <f t="shared" ref="G11:G29" si="0">IF(F11="Ativo",1,IF(F11="Monitorando",2,3))</f>
        <v>2</v>
      </c>
      <c r="H11" s="166"/>
      <c r="I11" s="112" t="s">
        <v>279</v>
      </c>
      <c r="J11" s="112" t="s">
        <v>280</v>
      </c>
      <c r="K11" s="111"/>
    </row>
    <row r="12" spans="2:11" ht="15.75" outlineLevel="2" x14ac:dyDescent="0.25">
      <c r="B12" s="339">
        <f>Identificar!B9</f>
        <v>3</v>
      </c>
      <c r="C12" s="339"/>
      <c r="D12" s="340" t="str">
        <f>Identificar!D9</f>
        <v>Dificuldade na elaboração das especificações de negócio.</v>
      </c>
      <c r="E12" s="340"/>
      <c r="F12" s="60" t="s">
        <v>62</v>
      </c>
      <c r="G12" s="60">
        <f t="shared" si="0"/>
        <v>1</v>
      </c>
      <c r="H12" s="166"/>
      <c r="I12" s="112" t="s">
        <v>132</v>
      </c>
      <c r="J12" s="112" t="s">
        <v>132</v>
      </c>
      <c r="K12" s="111"/>
    </row>
    <row r="13" spans="2:11" ht="15.75" outlineLevel="2" x14ac:dyDescent="0.25">
      <c r="B13" s="339">
        <f>Identificar!B10</f>
        <v>4</v>
      </c>
      <c r="C13" s="339"/>
      <c r="D13" s="340" t="str">
        <f>Identificar!D10</f>
        <v>Aprovação Card Desing e modelos de cartas.</v>
      </c>
      <c r="E13" s="340"/>
      <c r="F13" s="60" t="s">
        <v>62</v>
      </c>
      <c r="G13" s="60">
        <f t="shared" si="0"/>
        <v>1</v>
      </c>
      <c r="H13" s="166"/>
      <c r="I13" s="112" t="s">
        <v>132</v>
      </c>
      <c r="J13" s="112" t="s">
        <v>132</v>
      </c>
      <c r="K13" s="111"/>
    </row>
    <row r="14" spans="2:11" ht="15.75" outlineLevel="2" x14ac:dyDescent="0.25">
      <c r="B14" s="339">
        <f>Identificar!B11</f>
        <v>5</v>
      </c>
      <c r="C14" s="339"/>
      <c r="D14" s="340" t="str">
        <f>Identificar!D11</f>
        <v>Certificação chip junto a bandeira MasterCard.</v>
      </c>
      <c r="E14" s="340"/>
      <c r="F14" s="60" t="s">
        <v>62</v>
      </c>
      <c r="G14" s="60">
        <f t="shared" si="0"/>
        <v>1</v>
      </c>
      <c r="H14" s="166"/>
      <c r="I14" s="112" t="s">
        <v>132</v>
      </c>
      <c r="J14" s="112" t="s">
        <v>132</v>
      </c>
      <c r="K14" s="111"/>
    </row>
    <row r="15" spans="2:11" ht="15.75" outlineLevel="2" x14ac:dyDescent="0.25">
      <c r="B15" s="339">
        <f>Identificar!B12</f>
        <v>6</v>
      </c>
      <c r="C15" s="339"/>
      <c r="D15" s="340" t="str">
        <f>Identificar!D12</f>
        <v>Complexidade nas entregas de fornecedores externos (IBM / Accenture / Totvs / Tivit / CSU).</v>
      </c>
      <c r="E15" s="340"/>
      <c r="F15" s="60" t="s">
        <v>62</v>
      </c>
      <c r="G15" s="60">
        <f t="shared" si="0"/>
        <v>1</v>
      </c>
      <c r="H15" s="166"/>
      <c r="I15" s="112" t="s">
        <v>132</v>
      </c>
      <c r="J15" s="112" t="s">
        <v>132</v>
      </c>
      <c r="K15" s="111"/>
    </row>
    <row r="16" spans="2:11" ht="34.5" customHeight="1" outlineLevel="2" x14ac:dyDescent="0.25">
      <c r="B16" s="339">
        <f>Identificar!B13</f>
        <v>7</v>
      </c>
      <c r="C16" s="339"/>
      <c r="D16" s="340" t="str">
        <f>Identificar!D13</f>
        <v>Alterações no processo de integração TERMINAL FINANCEIRO - Atraso na entrega da integração com serviços.</v>
      </c>
      <c r="E16" s="340"/>
      <c r="F16" s="60" t="s">
        <v>56</v>
      </c>
      <c r="G16" s="60">
        <f t="shared" si="0"/>
        <v>2</v>
      </c>
      <c r="H16" s="166"/>
      <c r="I16" s="112" t="s">
        <v>284</v>
      </c>
      <c r="J16" s="112" t="s">
        <v>283</v>
      </c>
      <c r="K16" s="245" t="s">
        <v>288</v>
      </c>
    </row>
    <row r="17" spans="2:11" ht="31.5" outlineLevel="2" x14ac:dyDescent="0.25">
      <c r="B17" s="339">
        <f>Identificar!B14</f>
        <v>8</v>
      </c>
      <c r="C17" s="339"/>
      <c r="D17" s="340" t="str">
        <f>Identificar!D14</f>
        <v>Complexidade nas entregas de fornecedores internos técnicos (Arquitetura / Ambientes / Comunicação).</v>
      </c>
      <c r="E17" s="340"/>
      <c r="F17" s="60" t="s">
        <v>56</v>
      </c>
      <c r="G17" s="60">
        <f t="shared" si="0"/>
        <v>2</v>
      </c>
      <c r="H17" s="166"/>
      <c r="I17" s="112" t="s">
        <v>285</v>
      </c>
      <c r="J17" s="112" t="s">
        <v>132</v>
      </c>
      <c r="K17" s="245" t="s">
        <v>289</v>
      </c>
    </row>
    <row r="18" spans="2:11" ht="15.75" outlineLevel="2" x14ac:dyDescent="0.25">
      <c r="B18" s="339">
        <f>Identificar!B15</f>
        <v>9</v>
      </c>
      <c r="C18" s="339"/>
      <c r="D18" s="340" t="str">
        <f>Identificar!D15</f>
        <v>Alterações no escopo do projeto.</v>
      </c>
      <c r="E18" s="340"/>
      <c r="F18" s="60" t="s">
        <v>62</v>
      </c>
      <c r="G18" s="60">
        <f t="shared" si="0"/>
        <v>1</v>
      </c>
      <c r="H18" s="166"/>
      <c r="I18" s="112" t="s">
        <v>282</v>
      </c>
      <c r="J18" s="112" t="s">
        <v>282</v>
      </c>
      <c r="K18" s="111"/>
    </row>
    <row r="19" spans="2:11" ht="15.75" outlineLevel="2" x14ac:dyDescent="0.25">
      <c r="B19" s="339">
        <f>Identificar!B16</f>
        <v>10</v>
      </c>
      <c r="C19" s="339"/>
      <c r="D19" s="340" t="str">
        <f>Identificar!D16</f>
        <v>Concorrências dos recursos do projeto com outros projetos e atividades do dia-a-dia.</v>
      </c>
      <c r="E19" s="340"/>
      <c r="F19" s="60" t="s">
        <v>62</v>
      </c>
      <c r="G19" s="60">
        <f t="shared" si="0"/>
        <v>1</v>
      </c>
      <c r="H19" s="166"/>
      <c r="I19" s="112" t="s">
        <v>282</v>
      </c>
      <c r="J19" s="112" t="s">
        <v>282</v>
      </c>
      <c r="K19" s="111"/>
    </row>
    <row r="20" spans="2:11" ht="15.75" outlineLevel="2" x14ac:dyDescent="0.25">
      <c r="B20" s="339">
        <f>Identificar!B17</f>
        <v>11</v>
      </c>
      <c r="C20" s="339"/>
      <c r="D20" s="340" t="str">
        <f>Identificar!D17</f>
        <v>Não envolvimento efetivo dos patrocinadores e stakeholders no projeto.</v>
      </c>
      <c r="E20" s="340"/>
      <c r="F20" s="60" t="s">
        <v>237</v>
      </c>
      <c r="G20" s="60">
        <f t="shared" si="0"/>
        <v>3</v>
      </c>
      <c r="H20" s="166">
        <f>IF(B6&gt;Plano_Resposta!O18,Plano_Resposta!O18,0)</f>
        <v>41551</v>
      </c>
      <c r="I20" s="112" t="s">
        <v>132</v>
      </c>
      <c r="J20" s="112" t="s">
        <v>132</v>
      </c>
      <c r="K20" s="111"/>
    </row>
    <row r="21" spans="2:11" ht="15.75" outlineLevel="2" x14ac:dyDescent="0.25">
      <c r="B21" s="339">
        <f>Identificar!B18</f>
        <v>12</v>
      </c>
      <c r="C21" s="339"/>
      <c r="D21" s="340" t="str">
        <f>Identificar!D18</f>
        <v>Não cumprimento dos prazos de entregas definidos no cronograma do projeto.</v>
      </c>
      <c r="E21" s="340"/>
      <c r="F21" s="60" t="s">
        <v>62</v>
      </c>
      <c r="G21" s="60">
        <f t="shared" si="0"/>
        <v>1</v>
      </c>
      <c r="H21" s="166"/>
      <c r="I21" s="112" t="s">
        <v>282</v>
      </c>
      <c r="J21" s="112" t="s">
        <v>282</v>
      </c>
      <c r="K21" s="111"/>
    </row>
    <row r="22" spans="2:11" ht="52.5" customHeight="1" outlineLevel="2" x14ac:dyDescent="0.25">
      <c r="B22" s="339">
        <f>Identificar!B19</f>
        <v>13</v>
      </c>
      <c r="C22" s="339"/>
      <c r="D22" s="340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E22" s="340"/>
      <c r="F22" s="60" t="s">
        <v>56</v>
      </c>
      <c r="G22" s="60">
        <f t="shared" si="0"/>
        <v>2</v>
      </c>
      <c r="H22" s="166"/>
      <c r="I22" s="112" t="s">
        <v>286</v>
      </c>
      <c r="J22" s="112" t="s">
        <v>132</v>
      </c>
      <c r="K22" s="245" t="s">
        <v>287</v>
      </c>
    </row>
    <row r="23" spans="2:11" ht="35.25" customHeight="1" outlineLevel="2" x14ac:dyDescent="0.25">
      <c r="B23" s="339">
        <f>Identificar!B20</f>
        <v>14</v>
      </c>
      <c r="C23" s="339"/>
      <c r="D23" s="340" t="str">
        <f>Identificar!D20</f>
        <v>Alteração de processos operacionais vitais para a continuidade de negócio e de back-office (processamento e conciliação dos sistemas).</v>
      </c>
      <c r="E23" s="340"/>
      <c r="F23" s="60" t="s">
        <v>62</v>
      </c>
      <c r="G23" s="60">
        <f t="shared" si="0"/>
        <v>1</v>
      </c>
      <c r="H23" s="166"/>
      <c r="I23" s="112" t="s">
        <v>282</v>
      </c>
      <c r="J23" s="112" t="s">
        <v>282</v>
      </c>
      <c r="K23" s="111"/>
    </row>
    <row r="24" spans="2:11" ht="33.75" customHeight="1" outlineLevel="2" x14ac:dyDescent="0.25">
      <c r="B24" s="339">
        <f>Identificar!B21</f>
        <v>15</v>
      </c>
      <c r="C24" s="339"/>
      <c r="D24" s="340" t="str">
        <f>Identificar!D21</f>
        <v>Complexidade no desenvolvimento dos novos serviços no sistema.</v>
      </c>
      <c r="E24" s="340"/>
      <c r="F24" s="60" t="s">
        <v>56</v>
      </c>
      <c r="G24" s="60">
        <f t="shared" si="0"/>
        <v>2</v>
      </c>
      <c r="H24" s="166"/>
      <c r="I24" s="112" t="s">
        <v>285</v>
      </c>
      <c r="J24" s="112" t="s">
        <v>132</v>
      </c>
      <c r="K24" s="245" t="s">
        <v>289</v>
      </c>
    </row>
    <row r="25" spans="2:11" ht="35.25" customHeight="1" outlineLevel="2" x14ac:dyDescent="0.25">
      <c r="B25" s="339">
        <f>Identificar!B22</f>
        <v>16</v>
      </c>
      <c r="C25" s="339"/>
      <c r="D25" s="340" t="str">
        <f>Identificar!D22</f>
        <v>Falta de recursos para realização do processo de homologação por parte da área de Qualidade</v>
      </c>
      <c r="E25" s="340"/>
      <c r="F25" s="60" t="s">
        <v>62</v>
      </c>
      <c r="G25" s="60">
        <f t="shared" si="0"/>
        <v>1</v>
      </c>
      <c r="H25" s="166"/>
      <c r="I25" s="112" t="s">
        <v>282</v>
      </c>
      <c r="J25" s="112" t="s">
        <v>282</v>
      </c>
      <c r="K25" s="111"/>
    </row>
    <row r="26" spans="2:11" ht="15.75" outlineLevel="2" x14ac:dyDescent="0.25">
      <c r="B26" s="339">
        <f>Identificar!B23</f>
        <v>17</v>
      </c>
      <c r="C26" s="339"/>
      <c r="D26" s="340" t="str">
        <f>Identificar!D23</f>
        <v>Falha no detalhamento (densidade) da especificação funcional e artefatos acessórios.</v>
      </c>
      <c r="E26" s="340"/>
      <c r="F26" s="60" t="s">
        <v>56</v>
      </c>
      <c r="G26" s="60">
        <f t="shared" si="0"/>
        <v>2</v>
      </c>
      <c r="H26" s="166"/>
      <c r="I26" s="112" t="s">
        <v>132</v>
      </c>
      <c r="J26" s="112" t="s">
        <v>132</v>
      </c>
      <c r="K26" s="111"/>
    </row>
    <row r="27" spans="2:11" ht="15.75" outlineLevel="2" x14ac:dyDescent="0.25">
      <c r="B27" s="339">
        <f>Identificar!B24</f>
        <v>18</v>
      </c>
      <c r="C27" s="339"/>
      <c r="D27" s="340" t="str">
        <f>Identificar!D24</f>
        <v>Qualidade nas entregas dos provedores pode comprometer cronograma.</v>
      </c>
      <c r="E27" s="340"/>
      <c r="F27" s="60" t="s">
        <v>56</v>
      </c>
      <c r="G27" s="60">
        <f t="shared" si="0"/>
        <v>2</v>
      </c>
      <c r="H27" s="166"/>
      <c r="I27" s="112" t="s">
        <v>132</v>
      </c>
      <c r="J27" s="112" t="s">
        <v>132</v>
      </c>
      <c r="K27" s="111"/>
    </row>
    <row r="28" spans="2:11" ht="15.75" outlineLevel="2" x14ac:dyDescent="0.25">
      <c r="B28" s="339">
        <f>Identificar!B25</f>
        <v>19</v>
      </c>
      <c r="C28" s="339"/>
      <c r="D28" s="340" t="str">
        <f>Identificar!D25</f>
        <v>Não conformidade do sistema com relação ao escopo do projeto.</v>
      </c>
      <c r="E28" s="340"/>
      <c r="F28" s="60" t="s">
        <v>56</v>
      </c>
      <c r="G28" s="60">
        <f t="shared" si="0"/>
        <v>2</v>
      </c>
      <c r="H28" s="166"/>
      <c r="I28" s="112" t="s">
        <v>286</v>
      </c>
      <c r="J28" s="112" t="s">
        <v>286</v>
      </c>
      <c r="K28" s="111"/>
    </row>
    <row r="29" spans="2:11" ht="15.75" outlineLevel="2" x14ac:dyDescent="0.25">
      <c r="B29" s="339">
        <f>Identificar!B26</f>
        <v>20</v>
      </c>
      <c r="C29" s="339"/>
      <c r="D29" s="340" t="str">
        <f>Identificar!D26</f>
        <v>Inclusão de novos produtos no escopo do projeto .</v>
      </c>
      <c r="E29" s="340"/>
      <c r="F29" s="60" t="s">
        <v>56</v>
      </c>
      <c r="G29" s="60">
        <f t="shared" si="0"/>
        <v>2</v>
      </c>
      <c r="H29" s="166"/>
      <c r="I29" s="112" t="s">
        <v>132</v>
      </c>
      <c r="J29" s="112" t="s">
        <v>132</v>
      </c>
      <c r="K29" s="111"/>
    </row>
    <row r="30" spans="2:11" ht="21" customHeight="1" thickBot="1" x14ac:dyDescent="0.3"/>
    <row r="31" spans="2:11" ht="21" customHeight="1" x14ac:dyDescent="0.25">
      <c r="B31" s="334" t="s">
        <v>278</v>
      </c>
      <c r="C31" s="335"/>
      <c r="D31" s="336"/>
      <c r="E31" s="343" t="s">
        <v>277</v>
      </c>
      <c r="F31" s="346" t="s">
        <v>161</v>
      </c>
      <c r="G31" s="347" t="s">
        <v>161</v>
      </c>
      <c r="H31" s="361" t="s">
        <v>163</v>
      </c>
      <c r="I31" s="361" t="s">
        <v>162</v>
      </c>
      <c r="J31" s="357" t="s">
        <v>229</v>
      </c>
      <c r="K31" s="359" t="s">
        <v>281</v>
      </c>
    </row>
    <row r="32" spans="2:11" ht="21" customHeight="1" x14ac:dyDescent="0.25">
      <c r="B32" s="328">
        <v>41565</v>
      </c>
      <c r="C32" s="329"/>
      <c r="D32" s="330"/>
      <c r="E32" s="344"/>
      <c r="F32" s="348"/>
      <c r="G32" s="349"/>
      <c r="H32" s="362"/>
      <c r="I32" s="362"/>
      <c r="J32" s="358"/>
      <c r="K32" s="360"/>
    </row>
    <row r="33" spans="2:11" ht="21" customHeight="1" thickBot="1" x14ac:dyDescent="0.3">
      <c r="B33" s="331"/>
      <c r="C33" s="332"/>
      <c r="D33" s="333"/>
      <c r="E33" s="345"/>
      <c r="F33" s="350">
        <f>COUNTIF(F36:F55,"ATIVO")</f>
        <v>4</v>
      </c>
      <c r="G33" s="351">
        <f t="shared" ref="G33" si="1">COUNTIF(E36:E55,"ATIVO")</f>
        <v>0</v>
      </c>
      <c r="H33" s="145">
        <f>COUNTIF(F36:F55,"MONITORANDO")</f>
        <v>12</v>
      </c>
      <c r="I33" s="145">
        <f>COUNTIF(F36:F55,"FINALIZADO")</f>
        <v>2</v>
      </c>
      <c r="J33" s="243">
        <f>COUNTIF(F36:F55,"ELIMINADO")</f>
        <v>2</v>
      </c>
      <c r="K33" s="242">
        <f>COUNTIF(F10:F29,"EFETIVADO")</f>
        <v>0</v>
      </c>
    </row>
    <row r="34" spans="2:11" ht="21" hidden="1" customHeight="1" outlineLevel="1" x14ac:dyDescent="0.25">
      <c r="B34" s="352" t="s">
        <v>247</v>
      </c>
      <c r="C34" s="337"/>
      <c r="D34" s="363" t="s">
        <v>0</v>
      </c>
      <c r="E34" s="364"/>
      <c r="F34" s="337" t="s">
        <v>14</v>
      </c>
      <c r="G34" s="337" t="s">
        <v>194</v>
      </c>
      <c r="H34" s="337" t="s">
        <v>15</v>
      </c>
      <c r="I34" s="337" t="s">
        <v>254</v>
      </c>
      <c r="J34" s="337"/>
      <c r="K34" s="341" t="s">
        <v>160</v>
      </c>
    </row>
    <row r="35" spans="2:11" ht="30.75" hidden="1" customHeight="1" outlineLevel="2" thickBot="1" x14ac:dyDescent="0.3">
      <c r="B35" s="353"/>
      <c r="C35" s="338"/>
      <c r="D35" s="367"/>
      <c r="E35" s="368"/>
      <c r="F35" s="338"/>
      <c r="G35" s="338"/>
      <c r="H35" s="338"/>
      <c r="I35" s="167" t="s">
        <v>6</v>
      </c>
      <c r="J35" s="167" t="s">
        <v>5</v>
      </c>
      <c r="K35" s="342"/>
    </row>
    <row r="36" spans="2:11" ht="15.75" hidden="1" outlineLevel="2" x14ac:dyDescent="0.25">
      <c r="B36" s="339">
        <f>Identificar!B7</f>
        <v>1</v>
      </c>
      <c r="C36" s="339"/>
      <c r="D36" s="340" t="str">
        <f>Identificar!D7</f>
        <v>Formalização de abertura do projeto realizada após inicio do planejamento.</v>
      </c>
      <c r="E36" s="340"/>
      <c r="F36" s="98" t="s">
        <v>237</v>
      </c>
      <c r="G36" s="60">
        <f>IF(F36="Ativo",1,IF(F36="Monitorando",2,3))</f>
        <v>3</v>
      </c>
      <c r="H36" s="166">
        <f>IF(B6&gt;Plano_Resposta!O8,Plano_Resposta!O8,0)</f>
        <v>0</v>
      </c>
      <c r="I36" s="101"/>
      <c r="J36" s="112"/>
      <c r="K36" s="113"/>
    </row>
    <row r="37" spans="2:11" ht="15.75" hidden="1" outlineLevel="2" x14ac:dyDescent="0.25">
      <c r="B37" s="339">
        <f>Identificar!B8</f>
        <v>2</v>
      </c>
      <c r="C37" s="339"/>
      <c r="D37" s="340" t="str">
        <f>Identificar!D8</f>
        <v>Concorrência deste projeto com outros projetos.</v>
      </c>
      <c r="E37" s="340"/>
      <c r="F37" s="60" t="s">
        <v>56</v>
      </c>
      <c r="G37" s="60">
        <f t="shared" ref="G37:G55" si="2">IF(F37="Ativo",1,IF(F37="Monitorando",2,3))</f>
        <v>2</v>
      </c>
      <c r="H37" s="166">
        <f>IF(B6&gt;Plano_Resposta!O9,Plano_Resposta!O9,0)</f>
        <v>0</v>
      </c>
      <c r="I37" s="87"/>
      <c r="J37" s="110"/>
      <c r="K37" s="111"/>
    </row>
    <row r="38" spans="2:11" ht="15.75" hidden="1" outlineLevel="2" x14ac:dyDescent="0.25">
      <c r="B38" s="339">
        <f>Identificar!B9</f>
        <v>3</v>
      </c>
      <c r="C38" s="339"/>
      <c r="D38" s="340" t="str">
        <f>Identificar!D9</f>
        <v>Dificuldade na elaboração das especificações de negócio.</v>
      </c>
      <c r="E38" s="340"/>
      <c r="F38" s="60" t="s">
        <v>164</v>
      </c>
      <c r="G38" s="60">
        <f t="shared" si="2"/>
        <v>3</v>
      </c>
      <c r="H38" s="166">
        <f>IF(B6&gt;Plano_Resposta!O10,Plano_Resposta!O10,0)</f>
        <v>0</v>
      </c>
      <c r="I38" s="87"/>
      <c r="J38" s="110"/>
      <c r="K38" s="111"/>
    </row>
    <row r="39" spans="2:11" ht="15.75" hidden="1" outlineLevel="2" x14ac:dyDescent="0.25">
      <c r="B39" s="339">
        <f>Identificar!B10</f>
        <v>4</v>
      </c>
      <c r="C39" s="339"/>
      <c r="D39" s="340" t="str">
        <f>Identificar!D10</f>
        <v>Aprovação Card Desing e modelos de cartas.</v>
      </c>
      <c r="E39" s="340"/>
      <c r="F39" s="60" t="s">
        <v>164</v>
      </c>
      <c r="G39" s="60">
        <f t="shared" si="2"/>
        <v>3</v>
      </c>
      <c r="H39" s="166">
        <f>IF(B6&gt;Plano_Resposta!O11,Plano_Resposta!O11,0)</f>
        <v>0</v>
      </c>
      <c r="I39" s="87"/>
      <c r="J39" s="110"/>
      <c r="K39" s="111"/>
    </row>
    <row r="40" spans="2:11" ht="15.75" hidden="1" outlineLevel="2" x14ac:dyDescent="0.25">
      <c r="B40" s="339">
        <f>Identificar!B11</f>
        <v>5</v>
      </c>
      <c r="C40" s="339"/>
      <c r="D40" s="340" t="str">
        <f>Identificar!D11</f>
        <v>Certificação chip junto a bandeira MasterCard.</v>
      </c>
      <c r="E40" s="340"/>
      <c r="F40" s="60" t="s">
        <v>62</v>
      </c>
      <c r="G40" s="60">
        <f t="shared" si="2"/>
        <v>1</v>
      </c>
      <c r="H40" s="166">
        <f>IF(B6&gt;Plano_Resposta!O12,Plano_Resposta!O12,0)</f>
        <v>0</v>
      </c>
      <c r="I40" s="60"/>
      <c r="J40" s="110"/>
      <c r="K40" s="111"/>
    </row>
    <row r="41" spans="2:11" ht="15.75" hidden="1" outlineLevel="2" x14ac:dyDescent="0.25">
      <c r="B41" s="339">
        <f>Identificar!B12</f>
        <v>6</v>
      </c>
      <c r="C41" s="339"/>
      <c r="D41" s="340" t="str">
        <f>Identificar!D12</f>
        <v>Complexidade nas entregas de fornecedores externos (IBM / Accenture / Totvs / Tivit / CSU).</v>
      </c>
      <c r="E41" s="340"/>
      <c r="F41" s="60" t="s">
        <v>56</v>
      </c>
      <c r="G41" s="60">
        <f t="shared" si="2"/>
        <v>2</v>
      </c>
      <c r="H41" s="166">
        <f>IF(B6&gt;Plano_Resposta!O13,Plano_Resposta!O13,0)</f>
        <v>0</v>
      </c>
      <c r="I41" s="60"/>
      <c r="J41" s="110"/>
      <c r="K41" s="111"/>
    </row>
    <row r="42" spans="2:11" ht="15.75" hidden="1" outlineLevel="2" x14ac:dyDescent="0.25">
      <c r="B42" s="339">
        <f>Identificar!B13</f>
        <v>7</v>
      </c>
      <c r="C42" s="339"/>
      <c r="D42" s="340" t="str">
        <f>Identificar!D13</f>
        <v>Alterações no processo de integração TERMINAL FINANCEIRO - Atraso na entrega da integração com serviços.</v>
      </c>
      <c r="E42" s="340"/>
      <c r="F42" s="60" t="s">
        <v>56</v>
      </c>
      <c r="G42" s="60">
        <f t="shared" si="2"/>
        <v>2</v>
      </c>
      <c r="H42" s="166">
        <f>IF(B6&gt;Plano_Resposta!O14,Plano_Resposta!O14,0)</f>
        <v>0</v>
      </c>
      <c r="I42" s="60"/>
      <c r="J42" s="110"/>
      <c r="K42" s="111"/>
    </row>
    <row r="43" spans="2:11" ht="15.75" hidden="1" outlineLevel="2" x14ac:dyDescent="0.25">
      <c r="B43" s="339">
        <f>Identificar!B14</f>
        <v>8</v>
      </c>
      <c r="C43" s="339"/>
      <c r="D43" s="340" t="str">
        <f>Identificar!D14</f>
        <v>Complexidade nas entregas de fornecedores internos técnicos (Arquitetura / Ambientes / Comunicação).</v>
      </c>
      <c r="E43" s="340"/>
      <c r="F43" s="60" t="s">
        <v>56</v>
      </c>
      <c r="G43" s="60">
        <f t="shared" si="2"/>
        <v>2</v>
      </c>
      <c r="H43" s="166">
        <f>IF(B6&gt;Plano_Resposta!O15,Plano_Resposta!O15,0)</f>
        <v>0</v>
      </c>
      <c r="I43" s="60"/>
      <c r="J43" s="110"/>
      <c r="K43" s="111"/>
    </row>
    <row r="44" spans="2:11" ht="15.75" hidden="1" outlineLevel="2" x14ac:dyDescent="0.25">
      <c r="B44" s="339">
        <f>Identificar!B15</f>
        <v>9</v>
      </c>
      <c r="C44" s="339"/>
      <c r="D44" s="340" t="str">
        <f>Identificar!D15</f>
        <v>Alterações no escopo do projeto.</v>
      </c>
      <c r="E44" s="340"/>
      <c r="F44" s="60" t="s">
        <v>62</v>
      </c>
      <c r="G44" s="60">
        <f t="shared" si="2"/>
        <v>1</v>
      </c>
      <c r="H44" s="166">
        <f>IF(B6&gt;Plano_Resposta!O16,Plano_Resposta!O16,0)</f>
        <v>0</v>
      </c>
      <c r="I44" s="60"/>
      <c r="J44" s="110"/>
      <c r="K44" s="111"/>
    </row>
    <row r="45" spans="2:11" ht="15.75" hidden="1" outlineLevel="2" x14ac:dyDescent="0.25">
      <c r="B45" s="339">
        <f>Identificar!B16</f>
        <v>10</v>
      </c>
      <c r="C45" s="339"/>
      <c r="D45" s="340" t="str">
        <f>Identificar!D16</f>
        <v>Concorrências dos recursos do projeto com outros projetos e atividades do dia-a-dia.</v>
      </c>
      <c r="E45" s="340"/>
      <c r="F45" s="60" t="s">
        <v>62</v>
      </c>
      <c r="G45" s="60">
        <f t="shared" si="2"/>
        <v>1</v>
      </c>
      <c r="H45" s="166">
        <f>IF(B6&gt;Plano_Resposta!O17,Plano_Resposta!O17,0)</f>
        <v>0</v>
      </c>
      <c r="I45" s="60"/>
      <c r="J45" s="110"/>
      <c r="K45" s="111"/>
    </row>
    <row r="46" spans="2:11" ht="15.75" hidden="1" outlineLevel="2" x14ac:dyDescent="0.25">
      <c r="B46" s="339">
        <f>Identificar!B17</f>
        <v>11</v>
      </c>
      <c r="C46" s="339"/>
      <c r="D46" s="340" t="str">
        <f>Identificar!D17</f>
        <v>Não envolvimento efetivo dos patrocinadores e stakeholders no projeto.</v>
      </c>
      <c r="E46" s="340"/>
      <c r="F46" s="60" t="s">
        <v>237</v>
      </c>
      <c r="G46" s="60">
        <f t="shared" si="2"/>
        <v>3</v>
      </c>
      <c r="H46" s="166">
        <f>IF(B6&gt;Plano_Resposta!O18,Plano_Resposta!O18,0)</f>
        <v>41551</v>
      </c>
      <c r="I46" s="60"/>
      <c r="J46" s="110"/>
      <c r="K46" s="111"/>
    </row>
    <row r="47" spans="2:11" ht="15.75" hidden="1" outlineLevel="2" x14ac:dyDescent="0.25">
      <c r="B47" s="339">
        <f>Identificar!B18</f>
        <v>12</v>
      </c>
      <c r="C47" s="339"/>
      <c r="D47" s="340" t="str">
        <f>Identificar!D18</f>
        <v>Não cumprimento dos prazos de entregas definidos no cronograma do projeto.</v>
      </c>
      <c r="E47" s="340"/>
      <c r="F47" s="60" t="s">
        <v>62</v>
      </c>
      <c r="G47" s="60">
        <f t="shared" si="2"/>
        <v>1</v>
      </c>
      <c r="H47" s="166">
        <f>IF(B6&gt;Plano_Resposta!O19,Plano_Resposta!O19,0)</f>
        <v>0</v>
      </c>
      <c r="I47" s="60"/>
      <c r="J47" s="110"/>
      <c r="K47" s="111"/>
    </row>
    <row r="48" spans="2:11" ht="15.75" hidden="1" outlineLevel="2" x14ac:dyDescent="0.25">
      <c r="B48" s="339">
        <f>Identificar!B19</f>
        <v>13</v>
      </c>
      <c r="C48" s="339"/>
      <c r="D48" s="340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E48" s="340"/>
      <c r="F48" s="60" t="s">
        <v>56</v>
      </c>
      <c r="G48" s="60">
        <f t="shared" si="2"/>
        <v>2</v>
      </c>
      <c r="H48" s="166">
        <f>IF(B6&gt;Plano_Resposta!O20,Plano_Resposta!O20,0)</f>
        <v>0</v>
      </c>
      <c r="I48" s="60"/>
      <c r="J48" s="110"/>
      <c r="K48" s="111"/>
    </row>
    <row r="49" spans="2:11" ht="15.75" hidden="1" outlineLevel="2" x14ac:dyDescent="0.25">
      <c r="B49" s="339">
        <f>Identificar!B20</f>
        <v>14</v>
      </c>
      <c r="C49" s="339"/>
      <c r="D49" s="340" t="str">
        <f>Identificar!D20</f>
        <v>Alteração de processos operacionais vitais para a continuidade de negócio e de back-office (processamento e conciliação dos sistemas).</v>
      </c>
      <c r="E49" s="340"/>
      <c r="F49" s="60" t="s">
        <v>56</v>
      </c>
      <c r="G49" s="60">
        <f t="shared" si="2"/>
        <v>2</v>
      </c>
      <c r="H49" s="166">
        <f>IF(B6&gt;Plano_Resposta!O21,Plano_Resposta!O21,0)</f>
        <v>0</v>
      </c>
      <c r="I49" s="60"/>
      <c r="J49" s="110"/>
      <c r="K49" s="111"/>
    </row>
    <row r="50" spans="2:11" ht="15.75" hidden="1" outlineLevel="2" x14ac:dyDescent="0.25">
      <c r="B50" s="339">
        <f>Identificar!B21</f>
        <v>15</v>
      </c>
      <c r="C50" s="339"/>
      <c r="D50" s="340" t="str">
        <f>Identificar!D21</f>
        <v>Complexidade no desenvolvimento dos novos serviços no sistema.</v>
      </c>
      <c r="E50" s="340"/>
      <c r="F50" s="60" t="s">
        <v>56</v>
      </c>
      <c r="G50" s="60">
        <f t="shared" si="2"/>
        <v>2</v>
      </c>
      <c r="H50" s="166">
        <f>IF(B6&gt;Plano_Resposta!O22,Plano_Resposta!O22,0)</f>
        <v>0</v>
      </c>
      <c r="I50" s="60"/>
      <c r="J50" s="110"/>
      <c r="K50" s="111"/>
    </row>
    <row r="51" spans="2:11" ht="15.75" hidden="1" outlineLevel="2" x14ac:dyDescent="0.25">
      <c r="B51" s="339">
        <f>Identificar!B22</f>
        <v>16</v>
      </c>
      <c r="C51" s="339"/>
      <c r="D51" s="340" t="str">
        <f>Identificar!D22</f>
        <v>Falta de recursos para realização do processo de homologação por parte da área de Qualidade</v>
      </c>
      <c r="E51" s="340"/>
      <c r="F51" s="60" t="s">
        <v>56</v>
      </c>
      <c r="G51" s="60">
        <f t="shared" si="2"/>
        <v>2</v>
      </c>
      <c r="H51" s="166">
        <f>IF(B6&gt;Plano_Resposta!O23,Plano_Resposta!O23,0)</f>
        <v>0</v>
      </c>
      <c r="I51" s="60"/>
      <c r="J51" s="110"/>
      <c r="K51" s="111"/>
    </row>
    <row r="52" spans="2:11" ht="15.75" hidden="1" outlineLevel="2" x14ac:dyDescent="0.25">
      <c r="B52" s="339">
        <f>Identificar!B23</f>
        <v>17</v>
      </c>
      <c r="C52" s="339"/>
      <c r="D52" s="340" t="str">
        <f>Identificar!D23</f>
        <v>Falha no detalhamento (densidade) da especificação funcional e artefatos acessórios.</v>
      </c>
      <c r="E52" s="340"/>
      <c r="F52" s="60" t="s">
        <v>56</v>
      </c>
      <c r="G52" s="60">
        <f t="shared" si="2"/>
        <v>2</v>
      </c>
      <c r="H52" s="166">
        <f>IF(B6&gt;Plano_Resposta!O24,Plano_Resposta!O24,0)</f>
        <v>0</v>
      </c>
      <c r="I52" s="60"/>
      <c r="J52" s="110"/>
      <c r="K52" s="111"/>
    </row>
    <row r="53" spans="2:11" ht="15.75" hidden="1" outlineLevel="2" x14ac:dyDescent="0.25">
      <c r="B53" s="339">
        <f>Identificar!B24</f>
        <v>18</v>
      </c>
      <c r="C53" s="339"/>
      <c r="D53" s="340" t="str">
        <f>Identificar!D24</f>
        <v>Qualidade nas entregas dos provedores pode comprometer cronograma.</v>
      </c>
      <c r="E53" s="340"/>
      <c r="F53" s="60" t="s">
        <v>56</v>
      </c>
      <c r="G53" s="60">
        <f t="shared" si="2"/>
        <v>2</v>
      </c>
      <c r="H53" s="166">
        <f>IF(B6&gt;Plano_Resposta!O25,Plano_Resposta!O25,0)</f>
        <v>0</v>
      </c>
      <c r="I53" s="60"/>
      <c r="J53" s="110"/>
      <c r="K53" s="111"/>
    </row>
    <row r="54" spans="2:11" ht="15.75" hidden="1" outlineLevel="2" x14ac:dyDescent="0.25">
      <c r="B54" s="339">
        <f>Identificar!B25</f>
        <v>19</v>
      </c>
      <c r="C54" s="339"/>
      <c r="D54" s="340" t="str">
        <f>Identificar!D25</f>
        <v>Não conformidade do sistema com relação ao escopo do projeto.</v>
      </c>
      <c r="E54" s="340"/>
      <c r="F54" s="60" t="s">
        <v>56</v>
      </c>
      <c r="G54" s="60">
        <f t="shared" si="2"/>
        <v>2</v>
      </c>
      <c r="H54" s="166">
        <f>IF(B6&gt;Plano_Resposta!O26,Plano_Resposta!O26,0)</f>
        <v>0</v>
      </c>
      <c r="I54" s="60"/>
      <c r="J54" s="110"/>
      <c r="K54" s="111"/>
    </row>
    <row r="55" spans="2:11" ht="15.75" hidden="1" outlineLevel="2" x14ac:dyDescent="0.25">
      <c r="B55" s="339">
        <f>Identificar!B26</f>
        <v>20</v>
      </c>
      <c r="C55" s="339"/>
      <c r="D55" s="340" t="str">
        <f>Identificar!D26</f>
        <v>Inclusão de novos produtos no escopo do projeto .</v>
      </c>
      <c r="E55" s="340"/>
      <c r="F55" s="60" t="s">
        <v>56</v>
      </c>
      <c r="G55" s="60">
        <f t="shared" si="2"/>
        <v>2</v>
      </c>
      <c r="H55" s="166">
        <f>IF(B6&gt;Plano_Resposta!O27,Plano_Resposta!O27,0)</f>
        <v>0</v>
      </c>
      <c r="I55" s="60"/>
      <c r="J55" s="110"/>
      <c r="K55" s="111"/>
    </row>
    <row r="56" spans="2:11" ht="21" customHeight="1" collapsed="1" thickBot="1" x14ac:dyDescent="0.3"/>
    <row r="57" spans="2:11" ht="21" customHeight="1" x14ac:dyDescent="0.25">
      <c r="B57" s="334" t="s">
        <v>278</v>
      </c>
      <c r="C57" s="335"/>
      <c r="D57" s="336"/>
      <c r="E57" s="343" t="s">
        <v>277</v>
      </c>
      <c r="F57" s="346" t="s">
        <v>161</v>
      </c>
      <c r="G57" s="347" t="s">
        <v>161</v>
      </c>
      <c r="H57" s="361" t="s">
        <v>163</v>
      </c>
      <c r="I57" s="361" t="s">
        <v>162</v>
      </c>
      <c r="J57" s="357" t="s">
        <v>229</v>
      </c>
      <c r="K57" s="359" t="s">
        <v>281</v>
      </c>
    </row>
    <row r="58" spans="2:11" ht="21" customHeight="1" x14ac:dyDescent="0.25">
      <c r="B58" s="328">
        <v>41572</v>
      </c>
      <c r="C58" s="329"/>
      <c r="D58" s="330"/>
      <c r="E58" s="344"/>
      <c r="F58" s="348"/>
      <c r="G58" s="349"/>
      <c r="H58" s="362"/>
      <c r="I58" s="362"/>
      <c r="J58" s="358"/>
      <c r="K58" s="360"/>
    </row>
    <row r="59" spans="2:11" ht="21" customHeight="1" thickBot="1" x14ac:dyDescent="0.3">
      <c r="B59" s="331"/>
      <c r="C59" s="332"/>
      <c r="D59" s="333"/>
      <c r="E59" s="345"/>
      <c r="F59" s="350">
        <f>COUNTIF(F62:F81,"ATIVO")</f>
        <v>4</v>
      </c>
      <c r="G59" s="351">
        <f t="shared" ref="G59" si="3">COUNTIF(E62:E81,"ATIVO")</f>
        <v>0</v>
      </c>
      <c r="H59" s="145">
        <f>COUNTIF(F62:F81,"MONITORANDO")</f>
        <v>10</v>
      </c>
      <c r="I59" s="145">
        <f>COUNTIF(F62:F81,"FINALIZADO")</f>
        <v>4</v>
      </c>
      <c r="J59" s="243">
        <f>COUNTIF(F62:F81,"ELIMINADO")</f>
        <v>2</v>
      </c>
      <c r="K59" s="242">
        <f>COUNTIF(F62:F81,"EFETIVADO")</f>
        <v>0</v>
      </c>
    </row>
    <row r="60" spans="2:11" ht="21" hidden="1" customHeight="1" outlineLevel="1" x14ac:dyDescent="0.25">
      <c r="B60" s="352" t="s">
        <v>247</v>
      </c>
      <c r="C60" s="337"/>
      <c r="D60" s="363" t="s">
        <v>0</v>
      </c>
      <c r="E60" s="364"/>
      <c r="F60" s="337" t="s">
        <v>14</v>
      </c>
      <c r="G60" s="337" t="s">
        <v>194</v>
      </c>
      <c r="H60" s="337" t="s">
        <v>15</v>
      </c>
      <c r="I60" s="337" t="s">
        <v>254</v>
      </c>
      <c r="J60" s="337"/>
      <c r="K60" s="341" t="s">
        <v>160</v>
      </c>
    </row>
    <row r="61" spans="2:11" ht="30.75" hidden="1" customHeight="1" outlineLevel="2" thickBot="1" x14ac:dyDescent="0.3">
      <c r="B61" s="353"/>
      <c r="C61" s="338"/>
      <c r="D61" s="367"/>
      <c r="E61" s="368"/>
      <c r="F61" s="338"/>
      <c r="G61" s="338"/>
      <c r="H61" s="338"/>
      <c r="I61" s="192" t="s">
        <v>6</v>
      </c>
      <c r="J61" s="192" t="s">
        <v>5</v>
      </c>
      <c r="K61" s="342"/>
    </row>
    <row r="62" spans="2:11" ht="15.75" hidden="1" customHeight="1" outlineLevel="2" x14ac:dyDescent="0.25">
      <c r="B62" s="354">
        <f>Identificar!B7</f>
        <v>1</v>
      </c>
      <c r="C62" s="354"/>
      <c r="D62" s="340" t="str">
        <f>Identificar!D7</f>
        <v>Formalização de abertura do projeto realizada após inicio do planejamento.</v>
      </c>
      <c r="E62" s="340"/>
      <c r="F62" s="98" t="s">
        <v>237</v>
      </c>
      <c r="G62" s="60">
        <f>IF(F62="Ativo",1,IF(F62="Monitorando",2,3))</f>
        <v>3</v>
      </c>
      <c r="H62" s="166">
        <f>IF(B6&gt;Plano_Resposta!O8,Plano_Resposta!O8,0)</f>
        <v>0</v>
      </c>
      <c r="I62" s="101"/>
      <c r="J62" s="112"/>
      <c r="K62" s="113"/>
    </row>
    <row r="63" spans="2:11" ht="15.75" hidden="1" outlineLevel="2" x14ac:dyDescent="0.25">
      <c r="B63" s="354">
        <f>Identificar!B8</f>
        <v>2</v>
      </c>
      <c r="C63" s="354"/>
      <c r="D63" s="340" t="str">
        <f>Identificar!D8</f>
        <v>Concorrência deste projeto com outros projetos.</v>
      </c>
      <c r="E63" s="340"/>
      <c r="F63" s="60" t="s">
        <v>164</v>
      </c>
      <c r="G63" s="60">
        <f t="shared" ref="G63:G81" si="4">IF(F63="Ativo",1,IF(F63="Monitorando",2,3))</f>
        <v>3</v>
      </c>
      <c r="H63" s="166">
        <f>IF(B7&gt;Plano_Resposta!O9,Plano_Resposta!O9,0)</f>
        <v>0</v>
      </c>
      <c r="I63" s="87"/>
      <c r="J63" s="110"/>
      <c r="K63" s="111"/>
    </row>
    <row r="64" spans="2:11" ht="15.75" hidden="1" outlineLevel="2" x14ac:dyDescent="0.25">
      <c r="B64" s="354">
        <f>Identificar!B9</f>
        <v>3</v>
      </c>
      <c r="C64" s="354"/>
      <c r="D64" s="340" t="str">
        <f>Identificar!D9</f>
        <v>Dificuldade na elaboração das especificações de negócio.</v>
      </c>
      <c r="E64" s="340"/>
      <c r="F64" s="60" t="s">
        <v>164</v>
      </c>
      <c r="G64" s="60">
        <f t="shared" si="4"/>
        <v>3</v>
      </c>
      <c r="H64" s="166">
        <f>IF(B8&gt;Plano_Resposta!O10,Plano_Resposta!O10,0)</f>
        <v>0</v>
      </c>
      <c r="I64" s="87"/>
      <c r="J64" s="110"/>
      <c r="K64" s="111"/>
    </row>
    <row r="65" spans="2:11" ht="15.75" hidden="1" outlineLevel="2" x14ac:dyDescent="0.25">
      <c r="B65" s="354">
        <f>Identificar!B10</f>
        <v>4</v>
      </c>
      <c r="C65" s="354"/>
      <c r="D65" s="340" t="str">
        <f>Identificar!D10</f>
        <v>Aprovação Card Desing e modelos de cartas.</v>
      </c>
      <c r="E65" s="340"/>
      <c r="F65" s="60" t="s">
        <v>164</v>
      </c>
      <c r="G65" s="60">
        <f t="shared" si="4"/>
        <v>3</v>
      </c>
      <c r="H65" s="166">
        <f>IF(B9&gt;Plano_Resposta!O11,Plano_Resposta!O11,0)</f>
        <v>0</v>
      </c>
      <c r="I65" s="87"/>
      <c r="J65" s="110"/>
      <c r="K65" s="111"/>
    </row>
    <row r="66" spans="2:11" ht="15.75" hidden="1" outlineLevel="2" x14ac:dyDescent="0.25">
      <c r="B66" s="354">
        <f>Identificar!B11</f>
        <v>5</v>
      </c>
      <c r="C66" s="354"/>
      <c r="D66" s="340" t="str">
        <f>Identificar!D11</f>
        <v>Certificação chip junto a bandeira MasterCard.</v>
      </c>
      <c r="E66" s="340"/>
      <c r="F66" s="60" t="s">
        <v>62</v>
      </c>
      <c r="G66" s="60">
        <f t="shared" si="4"/>
        <v>1</v>
      </c>
      <c r="H66" s="166">
        <f>IF(B10&gt;Plano_Resposta!O12,Plano_Resposta!O12,0)</f>
        <v>0</v>
      </c>
      <c r="I66" s="60"/>
      <c r="J66" s="110"/>
      <c r="K66" s="111"/>
    </row>
    <row r="67" spans="2:11" ht="15.75" hidden="1" customHeight="1" outlineLevel="2" x14ac:dyDescent="0.25">
      <c r="B67" s="354">
        <f>Identificar!B12</f>
        <v>6</v>
      </c>
      <c r="C67" s="354"/>
      <c r="D67" s="340" t="str">
        <f>Identificar!D12</f>
        <v>Complexidade nas entregas de fornecedores externos (IBM / Accenture / Totvs / Tivit / CSU).</v>
      </c>
      <c r="E67" s="340"/>
      <c r="F67" s="60" t="s">
        <v>164</v>
      </c>
      <c r="G67" s="60">
        <f t="shared" si="4"/>
        <v>3</v>
      </c>
      <c r="H67" s="166">
        <f>IF(B11&gt;Plano_Resposta!O13,Plano_Resposta!O13,0)</f>
        <v>0</v>
      </c>
      <c r="I67" s="60"/>
      <c r="J67" s="110"/>
      <c r="K67" s="111"/>
    </row>
    <row r="68" spans="2:11" ht="15.75" hidden="1" customHeight="1" outlineLevel="2" x14ac:dyDescent="0.25">
      <c r="B68" s="354">
        <f>Identificar!B13</f>
        <v>7</v>
      </c>
      <c r="C68" s="354"/>
      <c r="D68" s="340" t="str">
        <f>Identificar!D13</f>
        <v>Alterações no processo de integração TERMINAL FINANCEIRO - Atraso na entrega da integração com serviços.</v>
      </c>
      <c r="E68" s="340"/>
      <c r="F68" s="60" t="s">
        <v>56</v>
      </c>
      <c r="G68" s="60">
        <f t="shared" si="4"/>
        <v>2</v>
      </c>
      <c r="H68" s="166">
        <f>IF(B12&gt;Plano_Resposta!O14,Plano_Resposta!O14,0)</f>
        <v>0</v>
      </c>
      <c r="I68" s="60"/>
      <c r="J68" s="110"/>
      <c r="K68" s="111"/>
    </row>
    <row r="69" spans="2:11" ht="15.75" hidden="1" customHeight="1" outlineLevel="2" x14ac:dyDescent="0.25">
      <c r="B69" s="354">
        <f>Identificar!B14</f>
        <v>8</v>
      </c>
      <c r="C69" s="354"/>
      <c r="D69" s="340" t="str">
        <f>Identificar!D14</f>
        <v>Complexidade nas entregas de fornecedores internos técnicos (Arquitetura / Ambientes / Comunicação).</v>
      </c>
      <c r="E69" s="340"/>
      <c r="F69" s="60" t="s">
        <v>56</v>
      </c>
      <c r="G69" s="60">
        <f t="shared" si="4"/>
        <v>2</v>
      </c>
      <c r="H69" s="166">
        <f>IF(B13&gt;Plano_Resposta!O15,Plano_Resposta!O15,0)</f>
        <v>0</v>
      </c>
      <c r="I69" s="60"/>
      <c r="J69" s="110"/>
      <c r="K69" s="111"/>
    </row>
    <row r="70" spans="2:11" ht="15.75" hidden="1" outlineLevel="2" x14ac:dyDescent="0.25">
      <c r="B70" s="354">
        <f>Identificar!B15</f>
        <v>9</v>
      </c>
      <c r="C70" s="354"/>
      <c r="D70" s="340" t="str">
        <f>Identificar!D15</f>
        <v>Alterações no escopo do projeto.</v>
      </c>
      <c r="E70" s="340"/>
      <c r="F70" s="60" t="s">
        <v>62</v>
      </c>
      <c r="G70" s="60">
        <f t="shared" si="4"/>
        <v>1</v>
      </c>
      <c r="H70" s="166">
        <f>IF(B14&gt;Plano_Resposta!O16,Plano_Resposta!O16,0)</f>
        <v>0</v>
      </c>
      <c r="I70" s="60"/>
      <c r="J70" s="110"/>
      <c r="K70" s="111"/>
    </row>
    <row r="71" spans="2:11" ht="15.75" hidden="1" customHeight="1" outlineLevel="2" x14ac:dyDescent="0.25">
      <c r="B71" s="354">
        <f>Identificar!B16</f>
        <v>10</v>
      </c>
      <c r="C71" s="354"/>
      <c r="D71" s="340" t="str">
        <f>Identificar!D16</f>
        <v>Concorrências dos recursos do projeto com outros projetos e atividades do dia-a-dia.</v>
      </c>
      <c r="E71" s="340"/>
      <c r="F71" s="60" t="s">
        <v>62</v>
      </c>
      <c r="G71" s="60">
        <f t="shared" si="4"/>
        <v>1</v>
      </c>
      <c r="H71" s="166">
        <f>IF(B15&gt;Plano_Resposta!O17,Plano_Resposta!O17,0)</f>
        <v>0</v>
      </c>
      <c r="I71" s="60"/>
      <c r="J71" s="110"/>
      <c r="K71" s="111"/>
    </row>
    <row r="72" spans="2:11" ht="15.75" hidden="1" customHeight="1" outlineLevel="2" x14ac:dyDescent="0.25">
      <c r="B72" s="354">
        <f>Identificar!B17</f>
        <v>11</v>
      </c>
      <c r="C72" s="354"/>
      <c r="D72" s="340" t="str">
        <f>Identificar!D17</f>
        <v>Não envolvimento efetivo dos patrocinadores e stakeholders no projeto.</v>
      </c>
      <c r="E72" s="340"/>
      <c r="F72" s="60" t="s">
        <v>237</v>
      </c>
      <c r="G72" s="60">
        <f t="shared" si="4"/>
        <v>3</v>
      </c>
      <c r="H72" s="166">
        <f>IF(B16&gt;Plano_Resposta!O18,Plano_Resposta!O18,0)</f>
        <v>0</v>
      </c>
      <c r="I72" s="60"/>
      <c r="J72" s="110"/>
      <c r="K72" s="111"/>
    </row>
    <row r="73" spans="2:11" ht="15.75" hidden="1" customHeight="1" outlineLevel="2" x14ac:dyDescent="0.25">
      <c r="B73" s="354">
        <f>Identificar!B18</f>
        <v>12</v>
      </c>
      <c r="C73" s="354"/>
      <c r="D73" s="340" t="str">
        <f>Identificar!D18</f>
        <v>Não cumprimento dos prazos de entregas definidos no cronograma do projeto.</v>
      </c>
      <c r="E73" s="340"/>
      <c r="F73" s="60" t="s">
        <v>62</v>
      </c>
      <c r="G73" s="60">
        <f t="shared" si="4"/>
        <v>1</v>
      </c>
      <c r="H73" s="166">
        <f>IF(B17&gt;Plano_Resposta!O19,Plano_Resposta!O19,0)</f>
        <v>0</v>
      </c>
      <c r="I73" s="60"/>
      <c r="J73" s="110"/>
      <c r="K73" s="111"/>
    </row>
    <row r="74" spans="2:11" ht="15.75" hidden="1" customHeight="1" outlineLevel="2" x14ac:dyDescent="0.25">
      <c r="B74" s="354">
        <f>Identificar!B19</f>
        <v>13</v>
      </c>
      <c r="C74" s="354"/>
      <c r="D74" s="340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E74" s="340"/>
      <c r="F74" s="60" t="s">
        <v>56</v>
      </c>
      <c r="G74" s="60">
        <f t="shared" si="4"/>
        <v>2</v>
      </c>
      <c r="H74" s="166">
        <f>IF(B18&gt;Plano_Resposta!O20,Plano_Resposta!O20,0)</f>
        <v>0</v>
      </c>
      <c r="I74" s="60"/>
      <c r="J74" s="110"/>
      <c r="K74" s="111"/>
    </row>
    <row r="75" spans="2:11" ht="15.75" hidden="1" customHeight="1" outlineLevel="2" x14ac:dyDescent="0.25">
      <c r="B75" s="354">
        <f>Identificar!B20</f>
        <v>14</v>
      </c>
      <c r="C75" s="354"/>
      <c r="D75" s="340" t="str">
        <f>Identificar!D20</f>
        <v>Alteração de processos operacionais vitais para a continuidade de negócio e de back-office (processamento e conciliação dos sistemas).</v>
      </c>
      <c r="E75" s="340"/>
      <c r="F75" s="60" t="s">
        <v>56</v>
      </c>
      <c r="G75" s="60">
        <f t="shared" si="4"/>
        <v>2</v>
      </c>
      <c r="H75" s="166">
        <f>IF(B19&gt;Plano_Resposta!O21,Plano_Resposta!O21,0)</f>
        <v>0</v>
      </c>
      <c r="I75" s="60"/>
      <c r="J75" s="110"/>
      <c r="K75" s="111"/>
    </row>
    <row r="76" spans="2:11" ht="15.75" hidden="1" outlineLevel="2" x14ac:dyDescent="0.25">
      <c r="B76" s="354">
        <f>Identificar!B21</f>
        <v>15</v>
      </c>
      <c r="C76" s="354"/>
      <c r="D76" s="340" t="str">
        <f>Identificar!D21</f>
        <v>Complexidade no desenvolvimento dos novos serviços no sistema.</v>
      </c>
      <c r="E76" s="340"/>
      <c r="F76" s="60" t="s">
        <v>56</v>
      </c>
      <c r="G76" s="60">
        <f t="shared" si="4"/>
        <v>2</v>
      </c>
      <c r="H76" s="166">
        <f>IF(B20&gt;Plano_Resposta!O22,Plano_Resposta!O22,0)</f>
        <v>0</v>
      </c>
      <c r="I76" s="60"/>
      <c r="J76" s="110"/>
      <c r="K76" s="111"/>
    </row>
    <row r="77" spans="2:11" ht="15.75" hidden="1" customHeight="1" outlineLevel="2" x14ac:dyDescent="0.25">
      <c r="B77" s="354">
        <f>Identificar!B22</f>
        <v>16</v>
      </c>
      <c r="C77" s="354"/>
      <c r="D77" s="340" t="str">
        <f>Identificar!D22</f>
        <v>Falta de recursos para realização do processo de homologação por parte da área de Qualidade</v>
      </c>
      <c r="E77" s="340"/>
      <c r="F77" s="60" t="s">
        <v>56</v>
      </c>
      <c r="G77" s="60">
        <f t="shared" si="4"/>
        <v>2</v>
      </c>
      <c r="H77" s="166">
        <f>IF(B21&gt;Plano_Resposta!O23,Plano_Resposta!O23,0)</f>
        <v>0</v>
      </c>
      <c r="I77" s="60"/>
      <c r="J77" s="110"/>
      <c r="K77" s="111"/>
    </row>
    <row r="78" spans="2:11" ht="15.75" hidden="1" customHeight="1" outlineLevel="2" x14ac:dyDescent="0.25">
      <c r="B78" s="354">
        <f>Identificar!B23</f>
        <v>17</v>
      </c>
      <c r="C78" s="354"/>
      <c r="D78" s="340" t="str">
        <f>Identificar!D23</f>
        <v>Falha no detalhamento (densidade) da especificação funcional e artefatos acessórios.</v>
      </c>
      <c r="E78" s="340"/>
      <c r="F78" s="60" t="s">
        <v>56</v>
      </c>
      <c r="G78" s="60">
        <f t="shared" si="4"/>
        <v>2</v>
      </c>
      <c r="H78" s="166">
        <f>IF(B22&gt;Plano_Resposta!O24,Plano_Resposta!O24,0)</f>
        <v>0</v>
      </c>
      <c r="I78" s="60"/>
      <c r="J78" s="110"/>
      <c r="K78" s="111"/>
    </row>
    <row r="79" spans="2:11" ht="15.75" hidden="1" customHeight="1" outlineLevel="2" x14ac:dyDescent="0.25">
      <c r="B79" s="354">
        <f>Identificar!B24</f>
        <v>18</v>
      </c>
      <c r="C79" s="354"/>
      <c r="D79" s="340" t="str">
        <f>Identificar!D24</f>
        <v>Qualidade nas entregas dos provedores pode comprometer cronograma.</v>
      </c>
      <c r="E79" s="340"/>
      <c r="F79" s="60" t="s">
        <v>56</v>
      </c>
      <c r="G79" s="60">
        <f t="shared" si="4"/>
        <v>2</v>
      </c>
      <c r="H79" s="166">
        <f>IF(B23&gt;Plano_Resposta!O25,Plano_Resposta!O25,0)</f>
        <v>0</v>
      </c>
      <c r="I79" s="60"/>
      <c r="J79" s="110"/>
      <c r="K79" s="111"/>
    </row>
    <row r="80" spans="2:11" ht="15.75" hidden="1" outlineLevel="2" x14ac:dyDescent="0.25">
      <c r="B80" s="354">
        <f>Identificar!B25</f>
        <v>19</v>
      </c>
      <c r="C80" s="354"/>
      <c r="D80" s="340" t="str">
        <f>Identificar!D25</f>
        <v>Não conformidade do sistema com relação ao escopo do projeto.</v>
      </c>
      <c r="E80" s="340"/>
      <c r="F80" s="60" t="s">
        <v>56</v>
      </c>
      <c r="G80" s="60">
        <f t="shared" si="4"/>
        <v>2</v>
      </c>
      <c r="H80" s="166">
        <f>IF(B24&gt;Plano_Resposta!O26,Plano_Resposta!O26,0)</f>
        <v>0</v>
      </c>
      <c r="I80" s="60"/>
      <c r="J80" s="110"/>
      <c r="K80" s="111"/>
    </row>
    <row r="81" spans="2:11" ht="15.75" hidden="1" outlineLevel="2" x14ac:dyDescent="0.25">
      <c r="B81" s="354">
        <f>Identificar!B26</f>
        <v>20</v>
      </c>
      <c r="C81" s="354"/>
      <c r="D81" s="340" t="str">
        <f>Identificar!D26</f>
        <v>Inclusão de novos produtos no escopo do projeto .</v>
      </c>
      <c r="E81" s="340"/>
      <c r="F81" s="60" t="s">
        <v>56</v>
      </c>
      <c r="G81" s="60">
        <f t="shared" si="4"/>
        <v>2</v>
      </c>
      <c r="H81" s="166">
        <f>IF(B25&gt;Plano_Resposta!O27,Plano_Resposta!O27,0)</f>
        <v>0</v>
      </c>
      <c r="I81" s="60"/>
      <c r="J81" s="110"/>
      <c r="K81" s="111"/>
    </row>
    <row r="82" spans="2:11" ht="21" customHeight="1" collapsed="1" thickBot="1" x14ac:dyDescent="0.3"/>
    <row r="83" spans="2:11" ht="21" customHeight="1" x14ac:dyDescent="0.25">
      <c r="B83" s="334" t="s">
        <v>278</v>
      </c>
      <c r="C83" s="335"/>
      <c r="D83" s="336"/>
      <c r="E83" s="343" t="s">
        <v>277</v>
      </c>
      <c r="F83" s="346" t="s">
        <v>161</v>
      </c>
      <c r="G83" s="347" t="s">
        <v>161</v>
      </c>
      <c r="H83" s="361" t="s">
        <v>163</v>
      </c>
      <c r="I83" s="361" t="s">
        <v>162</v>
      </c>
      <c r="J83" s="357" t="s">
        <v>229</v>
      </c>
      <c r="K83" s="359" t="s">
        <v>281</v>
      </c>
    </row>
    <row r="84" spans="2:11" ht="21" customHeight="1" x14ac:dyDescent="0.25">
      <c r="B84" s="328">
        <v>41579</v>
      </c>
      <c r="C84" s="329"/>
      <c r="D84" s="330"/>
      <c r="E84" s="344"/>
      <c r="F84" s="348"/>
      <c r="G84" s="349"/>
      <c r="H84" s="362"/>
      <c r="I84" s="362"/>
      <c r="J84" s="358"/>
      <c r="K84" s="360"/>
    </row>
    <row r="85" spans="2:11" ht="21" customHeight="1" thickBot="1" x14ac:dyDescent="0.3">
      <c r="B85" s="331"/>
      <c r="C85" s="332"/>
      <c r="D85" s="333"/>
      <c r="E85" s="345"/>
      <c r="F85" s="350">
        <f>COUNTIF(F88:F107,"ATIVO")</f>
        <v>3</v>
      </c>
      <c r="G85" s="351">
        <f t="shared" ref="G85" si="5">COUNTIF(E88:E107,"ATIVO")</f>
        <v>0</v>
      </c>
      <c r="H85" s="145">
        <f>COUNTIF(F88:F107,"MONITORANDO")</f>
        <v>10</v>
      </c>
      <c r="I85" s="145">
        <f>COUNTIF(F88:F107,"FINALIZADO")</f>
        <v>4</v>
      </c>
      <c r="J85" s="243">
        <f>COUNTIF(F88:F107,"ELIMINADO")</f>
        <v>3</v>
      </c>
      <c r="K85" s="242">
        <f>COUNTIF(F88:F107,"EFETIVADO")</f>
        <v>0</v>
      </c>
    </row>
    <row r="86" spans="2:11" ht="21" hidden="1" customHeight="1" outlineLevel="1" x14ac:dyDescent="0.25">
      <c r="B86" s="352" t="s">
        <v>247</v>
      </c>
      <c r="C86" s="337"/>
      <c r="D86" s="363" t="s">
        <v>0</v>
      </c>
      <c r="E86" s="364"/>
      <c r="F86" s="337" t="s">
        <v>14</v>
      </c>
      <c r="G86" s="337" t="s">
        <v>194</v>
      </c>
      <c r="H86" s="337" t="s">
        <v>15</v>
      </c>
      <c r="I86" s="337" t="s">
        <v>254</v>
      </c>
      <c r="J86" s="337"/>
      <c r="K86" s="341" t="s">
        <v>160</v>
      </c>
    </row>
    <row r="87" spans="2:11" ht="30.75" hidden="1" customHeight="1" outlineLevel="2" thickBot="1" x14ac:dyDescent="0.3">
      <c r="B87" s="353"/>
      <c r="C87" s="338"/>
      <c r="D87" s="367"/>
      <c r="E87" s="368"/>
      <c r="F87" s="338"/>
      <c r="G87" s="338"/>
      <c r="H87" s="338"/>
      <c r="I87" s="192" t="s">
        <v>6</v>
      </c>
      <c r="J87" s="192" t="s">
        <v>5</v>
      </c>
      <c r="K87" s="342"/>
    </row>
    <row r="88" spans="2:11" ht="31.5" hidden="1" outlineLevel="2" x14ac:dyDescent="0.25">
      <c r="B88" s="339">
        <f>Identificar!B7</f>
        <v>1</v>
      </c>
      <c r="C88" s="339"/>
      <c r="D88" s="81" t="str">
        <f>Identificar!D7</f>
        <v>Formalização de abertura do projeto realizada após inicio do planejamento.</v>
      </c>
      <c r="E88" s="81"/>
      <c r="F88" s="98" t="s">
        <v>237</v>
      </c>
      <c r="G88" s="60">
        <f>IF(F88="Ativo",1,IF(F88="Monitorando",2,3))</f>
        <v>3</v>
      </c>
      <c r="H88" s="166">
        <f>IF(B83&gt;Plano_Resposta!O8,Plano_Resposta!O8,0)</f>
        <v>41577</v>
      </c>
      <c r="I88" s="101"/>
      <c r="J88" s="112"/>
      <c r="K88" s="113"/>
    </row>
    <row r="89" spans="2:11" ht="15.75" hidden="1" outlineLevel="2" x14ac:dyDescent="0.25">
      <c r="B89" s="339">
        <f>Identificar!B8</f>
        <v>2</v>
      </c>
      <c r="C89" s="339"/>
      <c r="D89" s="81" t="str">
        <f>Identificar!D8</f>
        <v>Concorrência deste projeto com outros projetos.</v>
      </c>
      <c r="E89" s="81"/>
      <c r="F89" s="60" t="s">
        <v>164</v>
      </c>
      <c r="G89" s="60">
        <f t="shared" ref="G89:G107" si="6">IF(F89="Ativo",1,IF(F89="Monitorando",2,3))</f>
        <v>3</v>
      </c>
      <c r="H89" s="166">
        <f>IF(B84&gt;Plano_Resposta!O9,Plano_Resposta!O9,0)</f>
        <v>0</v>
      </c>
      <c r="I89" s="87"/>
      <c r="J89" s="110"/>
      <c r="K89" s="111"/>
    </row>
    <row r="90" spans="2:11" ht="15.75" hidden="1" outlineLevel="2" x14ac:dyDescent="0.25">
      <c r="B90" s="339">
        <f>Identificar!B9</f>
        <v>3</v>
      </c>
      <c r="C90" s="339"/>
      <c r="D90" s="81" t="str">
        <f>Identificar!D9</f>
        <v>Dificuldade na elaboração das especificações de negócio.</v>
      </c>
      <c r="E90" s="81"/>
      <c r="F90" s="60" t="s">
        <v>164</v>
      </c>
      <c r="G90" s="60">
        <f t="shared" si="6"/>
        <v>3</v>
      </c>
      <c r="H90" s="166">
        <f>IF(B7&gt;Plano_Resposta!O10,Plano_Resposta!O10,0)</f>
        <v>0</v>
      </c>
      <c r="I90" s="87"/>
      <c r="J90" s="110"/>
      <c r="K90" s="111"/>
    </row>
    <row r="91" spans="2:11" ht="15.75" hidden="1" outlineLevel="2" x14ac:dyDescent="0.25">
      <c r="B91" s="339">
        <f>Identificar!B10</f>
        <v>4</v>
      </c>
      <c r="C91" s="339"/>
      <c r="D91" s="81" t="str">
        <f>Identificar!D10</f>
        <v>Aprovação Card Desing e modelos de cartas.</v>
      </c>
      <c r="E91" s="81"/>
      <c r="F91" s="60" t="s">
        <v>164</v>
      </c>
      <c r="G91" s="60">
        <f t="shared" si="6"/>
        <v>3</v>
      </c>
      <c r="H91" s="166">
        <f>IF(B8&gt;Plano_Resposta!O11,Plano_Resposta!O11,0)</f>
        <v>0</v>
      </c>
      <c r="I91" s="87"/>
      <c r="J91" s="110"/>
      <c r="K91" s="111"/>
    </row>
    <row r="92" spans="2:11" ht="15.75" hidden="1" outlineLevel="2" x14ac:dyDescent="0.25">
      <c r="B92" s="339">
        <f>Identificar!B11</f>
        <v>5</v>
      </c>
      <c r="C92" s="339"/>
      <c r="D92" s="81" t="str">
        <f>Identificar!D11</f>
        <v>Certificação chip junto a bandeira MasterCard.</v>
      </c>
      <c r="E92" s="81"/>
      <c r="F92" s="60" t="s">
        <v>62</v>
      </c>
      <c r="G92" s="60">
        <f t="shared" si="6"/>
        <v>1</v>
      </c>
      <c r="H92" s="166">
        <f>IF(B9&gt;Plano_Resposta!O12,Plano_Resposta!O12,0)</f>
        <v>0</v>
      </c>
      <c r="I92" s="60"/>
      <c r="J92" s="110"/>
      <c r="K92" s="111"/>
    </row>
    <row r="93" spans="2:11" ht="15.75" hidden="1" outlineLevel="2" x14ac:dyDescent="0.25">
      <c r="B93" s="339">
        <f>Identificar!B12</f>
        <v>6</v>
      </c>
      <c r="C93" s="339"/>
      <c r="D93" s="340" t="str">
        <f>Identificar!D12</f>
        <v>Complexidade nas entregas de fornecedores externos (IBM / Accenture / Totvs / Tivit / CSU).</v>
      </c>
      <c r="E93" s="340"/>
      <c r="F93" s="60" t="s">
        <v>164</v>
      </c>
      <c r="G93" s="60">
        <f t="shared" si="6"/>
        <v>3</v>
      </c>
      <c r="H93" s="166">
        <f>IF(B10&gt;Plano_Resposta!O13,Plano_Resposta!O13,0)</f>
        <v>0</v>
      </c>
      <c r="I93" s="60"/>
      <c r="J93" s="110"/>
      <c r="K93" s="111"/>
    </row>
    <row r="94" spans="2:11" ht="15.75" hidden="1" outlineLevel="2" x14ac:dyDescent="0.25">
      <c r="B94" s="339">
        <f>Identificar!B13</f>
        <v>7</v>
      </c>
      <c r="C94" s="339"/>
      <c r="D94" s="340" t="str">
        <f>Identificar!D13</f>
        <v>Alterações no processo de integração TERMINAL FINANCEIRO - Atraso na entrega da integração com serviços.</v>
      </c>
      <c r="E94" s="340"/>
      <c r="F94" s="60" t="s">
        <v>56</v>
      </c>
      <c r="G94" s="60">
        <f t="shared" si="6"/>
        <v>2</v>
      </c>
      <c r="H94" s="166">
        <f>IF(B11&gt;Plano_Resposta!O14,Plano_Resposta!O14,0)</f>
        <v>0</v>
      </c>
      <c r="I94" s="60"/>
      <c r="J94" s="110"/>
      <c r="K94" s="111"/>
    </row>
    <row r="95" spans="2:11" ht="15.75" hidden="1" outlineLevel="2" x14ac:dyDescent="0.25">
      <c r="B95" s="339">
        <f>Identificar!B14</f>
        <v>8</v>
      </c>
      <c r="C95" s="339"/>
      <c r="D95" s="340" t="str">
        <f>Identificar!D14</f>
        <v>Complexidade nas entregas de fornecedores internos técnicos (Arquitetura / Ambientes / Comunicação).</v>
      </c>
      <c r="E95" s="340"/>
      <c r="F95" s="60" t="s">
        <v>56</v>
      </c>
      <c r="G95" s="60">
        <f t="shared" si="6"/>
        <v>2</v>
      </c>
      <c r="H95" s="166">
        <f>IF(B12&gt;Plano_Resposta!O15,Plano_Resposta!O15,0)</f>
        <v>0</v>
      </c>
      <c r="I95" s="60"/>
      <c r="J95" s="110"/>
      <c r="K95" s="111"/>
    </row>
    <row r="96" spans="2:11" ht="15.75" hidden="1" outlineLevel="2" x14ac:dyDescent="0.25">
      <c r="B96" s="339">
        <f>Identificar!B15</f>
        <v>9</v>
      </c>
      <c r="C96" s="339"/>
      <c r="D96" s="340" t="str">
        <f>Identificar!D15</f>
        <v>Alterações no escopo do projeto.</v>
      </c>
      <c r="E96" s="340"/>
      <c r="F96" s="60" t="s">
        <v>62</v>
      </c>
      <c r="G96" s="60">
        <f t="shared" si="6"/>
        <v>1</v>
      </c>
      <c r="H96" s="166">
        <f>IF(B13&gt;Plano_Resposta!O16,Plano_Resposta!O16,0)</f>
        <v>0</v>
      </c>
      <c r="I96" s="60"/>
      <c r="J96" s="110"/>
      <c r="K96" s="111"/>
    </row>
    <row r="97" spans="2:11" ht="15.75" hidden="1" outlineLevel="2" x14ac:dyDescent="0.25">
      <c r="B97" s="339">
        <f>Identificar!B16</f>
        <v>10</v>
      </c>
      <c r="C97" s="339"/>
      <c r="D97" s="340" t="str">
        <f>Identificar!D16</f>
        <v>Concorrências dos recursos do projeto com outros projetos e atividades do dia-a-dia.</v>
      </c>
      <c r="E97" s="340"/>
      <c r="F97" s="60" t="s">
        <v>62</v>
      </c>
      <c r="G97" s="60">
        <f t="shared" si="6"/>
        <v>1</v>
      </c>
      <c r="H97" s="166">
        <f>IF(B14&gt;Plano_Resposta!O17,Plano_Resposta!O17,0)</f>
        <v>0</v>
      </c>
      <c r="I97" s="60"/>
      <c r="J97" s="110"/>
      <c r="K97" s="111"/>
    </row>
    <row r="98" spans="2:11" ht="15.75" hidden="1" outlineLevel="2" x14ac:dyDescent="0.25">
      <c r="B98" s="339">
        <f>Identificar!B17</f>
        <v>11</v>
      </c>
      <c r="C98" s="339"/>
      <c r="D98" s="340" t="str">
        <f>Identificar!D17</f>
        <v>Não envolvimento efetivo dos patrocinadores e stakeholders no projeto.</v>
      </c>
      <c r="E98" s="340"/>
      <c r="F98" s="60" t="s">
        <v>237</v>
      </c>
      <c r="G98" s="60">
        <f t="shared" si="6"/>
        <v>3</v>
      </c>
      <c r="H98" s="166">
        <f>IF(B15&gt;Plano_Resposta!O18,Plano_Resposta!O18,0)</f>
        <v>0</v>
      </c>
      <c r="I98" s="60"/>
      <c r="J98" s="110"/>
      <c r="K98" s="111"/>
    </row>
    <row r="99" spans="2:11" ht="15.75" hidden="1" outlineLevel="2" x14ac:dyDescent="0.25">
      <c r="B99" s="339">
        <f>Identificar!B18</f>
        <v>12</v>
      </c>
      <c r="C99" s="339"/>
      <c r="D99" s="340" t="str">
        <f>Identificar!D18</f>
        <v>Não cumprimento dos prazos de entregas definidos no cronograma do projeto.</v>
      </c>
      <c r="E99" s="340"/>
      <c r="F99" s="60" t="s">
        <v>56</v>
      </c>
      <c r="G99" s="60">
        <f t="shared" si="6"/>
        <v>2</v>
      </c>
      <c r="H99" s="166">
        <f>IF(B16&gt;Plano_Resposta!O19,Plano_Resposta!O19,0)</f>
        <v>0</v>
      </c>
      <c r="I99" s="60"/>
      <c r="J99" s="110"/>
      <c r="K99" s="111"/>
    </row>
    <row r="100" spans="2:11" ht="15.75" hidden="1" outlineLevel="2" x14ac:dyDescent="0.25">
      <c r="B100" s="339">
        <f>Identificar!B19</f>
        <v>13</v>
      </c>
      <c r="C100" s="339"/>
      <c r="D100" s="340" t="str">
        <f>Identificar!D19</f>
        <v>As atividades do projeto podem não ser priorizadas pelas áreas, pois estas possuem um % restrito de atendimento a demandas de dia-a-dia. Sendo assim, há um alto risco dessas atividades não serem priorizadas em relação a atividades de outros projetos.</v>
      </c>
      <c r="E100" s="340"/>
      <c r="F100" s="60" t="s">
        <v>237</v>
      </c>
      <c r="G100" s="60">
        <f t="shared" si="6"/>
        <v>3</v>
      </c>
      <c r="H100" s="166">
        <f>IF(B17&gt;Plano_Resposta!O20,Plano_Resposta!O20,0)</f>
        <v>0</v>
      </c>
      <c r="I100" s="60"/>
      <c r="J100" s="110"/>
      <c r="K100" s="111"/>
    </row>
    <row r="101" spans="2:11" ht="15.75" hidden="1" outlineLevel="2" x14ac:dyDescent="0.25">
      <c r="B101" s="339">
        <f>Identificar!B20</f>
        <v>14</v>
      </c>
      <c r="C101" s="339"/>
      <c r="D101" s="340" t="str">
        <f>Identificar!D20</f>
        <v>Alteração de processos operacionais vitais para a continuidade de negócio e de back-office (processamento e conciliação dos sistemas).</v>
      </c>
      <c r="E101" s="340"/>
      <c r="F101" s="60" t="s">
        <v>56</v>
      </c>
      <c r="G101" s="60">
        <f t="shared" si="6"/>
        <v>2</v>
      </c>
      <c r="H101" s="166">
        <f>IF(B18&gt;Plano_Resposta!O21,Plano_Resposta!O21,0)</f>
        <v>0</v>
      </c>
      <c r="I101" s="60"/>
      <c r="J101" s="110"/>
      <c r="K101" s="111"/>
    </row>
    <row r="102" spans="2:11" ht="15.75" hidden="1" outlineLevel="2" x14ac:dyDescent="0.25">
      <c r="B102" s="339">
        <f>Identificar!B21</f>
        <v>15</v>
      </c>
      <c r="C102" s="339"/>
      <c r="D102" s="340" t="str">
        <f>Identificar!D21</f>
        <v>Complexidade no desenvolvimento dos novos serviços no sistema.</v>
      </c>
      <c r="E102" s="340"/>
      <c r="F102" s="60" t="s">
        <v>56</v>
      </c>
      <c r="G102" s="60">
        <f t="shared" si="6"/>
        <v>2</v>
      </c>
      <c r="H102" s="166">
        <f>IF(B19&gt;Plano_Resposta!O22,Plano_Resposta!O22,0)</f>
        <v>0</v>
      </c>
      <c r="I102" s="60"/>
      <c r="J102" s="110"/>
      <c r="K102" s="111"/>
    </row>
    <row r="103" spans="2:11" ht="15.75" hidden="1" outlineLevel="2" x14ac:dyDescent="0.25">
      <c r="B103" s="339">
        <f>Identificar!B22</f>
        <v>16</v>
      </c>
      <c r="C103" s="339"/>
      <c r="D103" s="340" t="str">
        <f>Identificar!D22</f>
        <v>Falta de recursos para realização do processo de homologação por parte da área de Qualidade</v>
      </c>
      <c r="E103" s="340"/>
      <c r="F103" s="60" t="s">
        <v>56</v>
      </c>
      <c r="G103" s="60">
        <f t="shared" si="6"/>
        <v>2</v>
      </c>
      <c r="H103" s="166">
        <f>IF(B20&gt;Plano_Resposta!O23,Plano_Resposta!O23,0)</f>
        <v>0</v>
      </c>
      <c r="I103" s="60"/>
      <c r="J103" s="110"/>
      <c r="K103" s="111"/>
    </row>
    <row r="104" spans="2:11" ht="15.75" hidden="1" outlineLevel="2" x14ac:dyDescent="0.25">
      <c r="B104" s="339">
        <f>Identificar!B23</f>
        <v>17</v>
      </c>
      <c r="C104" s="339"/>
      <c r="D104" s="340" t="str">
        <f>Identificar!D23</f>
        <v>Falha no detalhamento (densidade) da especificação funcional e artefatos acessórios.</v>
      </c>
      <c r="E104" s="340"/>
      <c r="F104" s="60" t="s">
        <v>56</v>
      </c>
      <c r="G104" s="60">
        <f t="shared" si="6"/>
        <v>2</v>
      </c>
      <c r="H104" s="166">
        <f>IF(B21&gt;Plano_Resposta!O24,Plano_Resposta!O24,0)</f>
        <v>0</v>
      </c>
      <c r="I104" s="60"/>
      <c r="J104" s="110"/>
      <c r="K104" s="111"/>
    </row>
    <row r="105" spans="2:11" ht="15.75" hidden="1" outlineLevel="2" x14ac:dyDescent="0.25">
      <c r="B105" s="339">
        <f>Identificar!B24</f>
        <v>18</v>
      </c>
      <c r="C105" s="339"/>
      <c r="D105" s="340" t="str">
        <f>Identificar!D24</f>
        <v>Qualidade nas entregas dos provedores pode comprometer cronograma.</v>
      </c>
      <c r="E105" s="340"/>
      <c r="F105" s="60" t="s">
        <v>56</v>
      </c>
      <c r="G105" s="60">
        <f t="shared" si="6"/>
        <v>2</v>
      </c>
      <c r="H105" s="166">
        <f>IF(B22&gt;Plano_Resposta!O25,Plano_Resposta!O25,0)</f>
        <v>0</v>
      </c>
      <c r="I105" s="60"/>
      <c r="J105" s="110"/>
      <c r="K105" s="111"/>
    </row>
    <row r="106" spans="2:11" ht="15.75" hidden="1" outlineLevel="2" x14ac:dyDescent="0.25">
      <c r="B106" s="339">
        <f>Identificar!B25</f>
        <v>19</v>
      </c>
      <c r="C106" s="339"/>
      <c r="D106" s="340" t="str">
        <f>Identificar!D25</f>
        <v>Não conformidade do sistema com relação ao escopo do projeto.</v>
      </c>
      <c r="E106" s="340"/>
      <c r="F106" s="60" t="s">
        <v>56</v>
      </c>
      <c r="G106" s="60">
        <f t="shared" si="6"/>
        <v>2</v>
      </c>
      <c r="H106" s="166">
        <f>IF(B23&gt;Plano_Resposta!O26,Plano_Resposta!O26,0)</f>
        <v>0</v>
      </c>
      <c r="I106" s="60"/>
      <c r="J106" s="110"/>
      <c r="K106" s="111"/>
    </row>
    <row r="107" spans="2:11" ht="15.75" hidden="1" outlineLevel="2" x14ac:dyDescent="0.25">
      <c r="B107" s="339">
        <f>Identificar!B26</f>
        <v>20</v>
      </c>
      <c r="C107" s="339"/>
      <c r="D107" s="340" t="str">
        <f>Identificar!D26</f>
        <v>Inclusão de novos produtos no escopo do projeto .</v>
      </c>
      <c r="E107" s="340"/>
      <c r="F107" s="60" t="s">
        <v>56</v>
      </c>
      <c r="G107" s="60">
        <f t="shared" si="6"/>
        <v>2</v>
      </c>
      <c r="H107" s="166">
        <f>IF(B24&gt;Plano_Resposta!O27,Plano_Resposta!O27,0)</f>
        <v>0</v>
      </c>
      <c r="I107" s="60"/>
      <c r="J107" s="110"/>
      <c r="K107" s="111"/>
    </row>
    <row r="108" spans="2:11" ht="21" customHeight="1" collapsed="1" x14ac:dyDescent="0.25"/>
    <row r="109" spans="2:11" ht="21" customHeight="1" x14ac:dyDescent="0.25">
      <c r="K109" s="244"/>
    </row>
  </sheetData>
  <mergeCells count="222">
    <mergeCell ref="D104:E104"/>
    <mergeCell ref="D105:E105"/>
    <mergeCell ref="D106:E106"/>
    <mergeCell ref="D107:E107"/>
    <mergeCell ref="D86:E87"/>
    <mergeCell ref="D60:E61"/>
    <mergeCell ref="D34:E35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76:E76"/>
    <mergeCell ref="D77:E77"/>
    <mergeCell ref="D78:E78"/>
    <mergeCell ref="D79:E79"/>
    <mergeCell ref="D80:E80"/>
    <mergeCell ref="D81:E81"/>
    <mergeCell ref="D67:E67"/>
    <mergeCell ref="D68:E68"/>
    <mergeCell ref="J83:J84"/>
    <mergeCell ref="D69:E69"/>
    <mergeCell ref="D70:E70"/>
    <mergeCell ref="D71:E71"/>
    <mergeCell ref="D72:E72"/>
    <mergeCell ref="D73:E73"/>
    <mergeCell ref="D74:E74"/>
    <mergeCell ref="D75:E75"/>
    <mergeCell ref="D52:E52"/>
    <mergeCell ref="D53:E53"/>
    <mergeCell ref="D54:E54"/>
    <mergeCell ref="D55:E55"/>
    <mergeCell ref="D62:E62"/>
    <mergeCell ref="D63:E63"/>
    <mergeCell ref="D64:E64"/>
    <mergeCell ref="D65:E65"/>
    <mergeCell ref="D66:E66"/>
    <mergeCell ref="D27:E27"/>
    <mergeCell ref="F57:G58"/>
    <mergeCell ref="F59:G59"/>
    <mergeCell ref="K83:K84"/>
    <mergeCell ref="F83:G84"/>
    <mergeCell ref="F85:G8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H83:H84"/>
    <mergeCell ref="I83:I84"/>
    <mergeCell ref="F5:G6"/>
    <mergeCell ref="F7:G7"/>
    <mergeCell ref="E5:E7"/>
    <mergeCell ref="D8:E9"/>
    <mergeCell ref="D10:E10"/>
    <mergeCell ref="D11:E11"/>
    <mergeCell ref="D12:E12"/>
    <mergeCell ref="D13:E13"/>
    <mergeCell ref="B105:C105"/>
    <mergeCell ref="B90:C90"/>
    <mergeCell ref="B91:C91"/>
    <mergeCell ref="B92:C92"/>
    <mergeCell ref="B93:C93"/>
    <mergeCell ref="B94:C94"/>
    <mergeCell ref="D94:E94"/>
    <mergeCell ref="B77:C77"/>
    <mergeCell ref="B78:C78"/>
    <mergeCell ref="B79:C79"/>
    <mergeCell ref="B80:C80"/>
    <mergeCell ref="B81:C81"/>
    <mergeCell ref="E83:E85"/>
    <mergeCell ref="B72:C72"/>
    <mergeCell ref="B73:C73"/>
    <mergeCell ref="B74:C74"/>
    <mergeCell ref="B106:C106"/>
    <mergeCell ref="B107:C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H86:H87"/>
    <mergeCell ref="I86:J86"/>
    <mergeCell ref="K86:K87"/>
    <mergeCell ref="B88:C88"/>
    <mergeCell ref="B89:C89"/>
    <mergeCell ref="B86:C87"/>
    <mergeCell ref="F86:F87"/>
    <mergeCell ref="G86:G87"/>
    <mergeCell ref="D93:E93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K57:K58"/>
    <mergeCell ref="B60:C61"/>
    <mergeCell ref="F60:F61"/>
    <mergeCell ref="G60:G61"/>
    <mergeCell ref="H60:H61"/>
    <mergeCell ref="I60:J60"/>
    <mergeCell ref="K60:K61"/>
    <mergeCell ref="H57:H58"/>
    <mergeCell ref="I57:I58"/>
    <mergeCell ref="J57:J58"/>
    <mergeCell ref="E57:E59"/>
    <mergeCell ref="B2:C2"/>
    <mergeCell ref="B3:C3"/>
    <mergeCell ref="J5:J6"/>
    <mergeCell ref="K5:K6"/>
    <mergeCell ref="K31:K32"/>
    <mergeCell ref="H31:H32"/>
    <mergeCell ref="B36:C36"/>
    <mergeCell ref="B4:K4"/>
    <mergeCell ref="B22:C22"/>
    <mergeCell ref="B23:C23"/>
    <mergeCell ref="I31:I32"/>
    <mergeCell ref="J31:J32"/>
    <mergeCell ref="I5:I6"/>
    <mergeCell ref="H5:H6"/>
    <mergeCell ref="I8:J8"/>
    <mergeCell ref="F8:F9"/>
    <mergeCell ref="G8:G9"/>
    <mergeCell ref="H8:H9"/>
    <mergeCell ref="K8:K9"/>
    <mergeCell ref="G34:G35"/>
    <mergeCell ref="D14:E14"/>
    <mergeCell ref="D15:E15"/>
    <mergeCell ref="D16:E16"/>
    <mergeCell ref="D17:E17"/>
    <mergeCell ref="B42:C42"/>
    <mergeCell ref="B37:C37"/>
    <mergeCell ref="B38:C38"/>
    <mergeCell ref="B39:C39"/>
    <mergeCell ref="B8:C9"/>
    <mergeCell ref="B29:C2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4:C35"/>
    <mergeCell ref="D18:E18"/>
    <mergeCell ref="H34:H35"/>
    <mergeCell ref="I34:J34"/>
    <mergeCell ref="K34:K35"/>
    <mergeCell ref="B20:C20"/>
    <mergeCell ref="B21:C21"/>
    <mergeCell ref="B24:C24"/>
    <mergeCell ref="B25:C25"/>
    <mergeCell ref="B26:C26"/>
    <mergeCell ref="B27:C27"/>
    <mergeCell ref="B28:C28"/>
    <mergeCell ref="D28:E28"/>
    <mergeCell ref="D29:E29"/>
    <mergeCell ref="E31:E33"/>
    <mergeCell ref="F31:G32"/>
    <mergeCell ref="F33:G33"/>
    <mergeCell ref="D19:E19"/>
    <mergeCell ref="D20:E20"/>
    <mergeCell ref="D21:E21"/>
    <mergeCell ref="D22:E22"/>
    <mergeCell ref="D23:E23"/>
    <mergeCell ref="D24:E24"/>
    <mergeCell ref="D25:E25"/>
    <mergeCell ref="D26:E26"/>
    <mergeCell ref="B6:D7"/>
    <mergeCell ref="B5:D5"/>
    <mergeCell ref="B31:D31"/>
    <mergeCell ref="B32:D33"/>
    <mergeCell ref="B57:D57"/>
    <mergeCell ref="B58:D59"/>
    <mergeCell ref="B83:D83"/>
    <mergeCell ref="B84:D85"/>
    <mergeCell ref="F34:F35"/>
    <mergeCell ref="B43:C43"/>
    <mergeCell ref="B44:C44"/>
    <mergeCell ref="B45:C45"/>
    <mergeCell ref="B46:C46"/>
    <mergeCell ref="B47:C47"/>
    <mergeCell ref="B48:C48"/>
    <mergeCell ref="B49:C49"/>
    <mergeCell ref="B55:C55"/>
    <mergeCell ref="B50:C50"/>
    <mergeCell ref="B51:C51"/>
    <mergeCell ref="B52:C52"/>
    <mergeCell ref="B53:C53"/>
    <mergeCell ref="B54:C54"/>
    <mergeCell ref="B40:C40"/>
    <mergeCell ref="B41:C41"/>
  </mergeCells>
  <dataValidations count="2">
    <dataValidation type="list" allowBlank="1" showInputMessage="1" showErrorMessage="1" sqref="F62:F81 F36:F55 F11:F29 F88:F107">
      <formula1>"Ativo,Monitorando,Finalizado,Eliminado"</formula1>
    </dataValidation>
    <dataValidation type="list" allowBlank="1" showInputMessage="1" showErrorMessage="1" sqref="F10">
      <formula1>"Ativo,Monitorando,Finalizado,Eliminado,Efetivado"</formula1>
    </dataValidation>
  </dataValidations>
  <pageMargins left="0.2" right="0.2" top="0.51" bottom="0.78740157480314965" header="0.31496062992125984" footer="0.31496062992125984"/>
  <pageSetup paperSize="9" orientation="landscape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ignoredErrors>
    <ignoredError sqref="D11 D13:D15 D10 D16 D17:D29" calculatedColumn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6:P63"/>
  <sheetViews>
    <sheetView zoomScale="70" zoomScaleNormal="70" workbookViewId="0">
      <selection activeCell="X80" sqref="X80:Y80"/>
    </sheetView>
  </sheetViews>
  <sheetFormatPr defaultRowHeight="15" x14ac:dyDescent="0.25"/>
  <cols>
    <col min="1" max="2" width="6.42578125" style="5" customWidth="1"/>
    <col min="3" max="3" width="13.42578125" style="5" customWidth="1"/>
    <col min="4" max="4" width="11.5703125" style="5" customWidth="1"/>
    <col min="5" max="5" width="11.7109375" style="5" customWidth="1"/>
    <col min="6" max="6" width="2.5703125" style="5" customWidth="1"/>
    <col min="7" max="7" width="13.140625" style="5" customWidth="1"/>
    <col min="8" max="8" width="10.7109375" style="5" customWidth="1"/>
    <col min="9" max="9" width="2.42578125" style="5" customWidth="1"/>
    <col min="10" max="10" width="12" style="5" customWidth="1"/>
    <col min="11" max="11" width="11.85546875" style="5" customWidth="1"/>
    <col min="12" max="12" width="1.42578125" style="5" customWidth="1"/>
    <col min="13" max="13" width="10.7109375" style="5" customWidth="1"/>
    <col min="14" max="14" width="9.7109375" style="5" customWidth="1"/>
    <col min="15" max="16384" width="9.140625" style="5"/>
  </cols>
  <sheetData>
    <row r="26" spans="13:14" x14ac:dyDescent="0.25">
      <c r="M26" s="5" t="s">
        <v>165</v>
      </c>
    </row>
    <row r="29" spans="13:14" x14ac:dyDescent="0.25">
      <c r="N29" s="376"/>
    </row>
    <row r="30" spans="13:14" x14ac:dyDescent="0.25">
      <c r="N30" s="376"/>
    </row>
    <row r="49" spans="2:16" x14ac:dyDescent="0.25"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8"/>
    </row>
    <row r="50" spans="2:16" x14ac:dyDescent="0.25"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1"/>
    </row>
    <row r="51" spans="2:16" x14ac:dyDescent="0.25">
      <c r="B51" s="119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1"/>
    </row>
    <row r="52" spans="2:16" x14ac:dyDescent="0.25"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1"/>
    </row>
    <row r="53" spans="2:16" x14ac:dyDescent="0.25">
      <c r="B53" s="119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1"/>
    </row>
    <row r="54" spans="2:16" ht="15.75" thickBot="1" x14ac:dyDescent="0.3">
      <c r="B54" s="119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1"/>
    </row>
    <row r="55" spans="2:16" ht="21.75" thickBot="1" x14ac:dyDescent="0.4">
      <c r="B55" s="119"/>
      <c r="C55" s="120"/>
      <c r="D55" s="120"/>
      <c r="E55" s="122"/>
      <c r="F55" s="122"/>
      <c r="G55" s="372" t="s">
        <v>195</v>
      </c>
      <c r="H55" s="373"/>
      <c r="I55" s="123"/>
      <c r="J55" s="372" t="s">
        <v>196</v>
      </c>
      <c r="K55" s="373"/>
      <c r="L55" s="120"/>
      <c r="M55" s="372" t="s">
        <v>197</v>
      </c>
      <c r="N55" s="373"/>
      <c r="O55" s="120"/>
      <c r="P55" s="121"/>
    </row>
    <row r="56" spans="2:16" ht="15.75" thickBot="1" x14ac:dyDescent="0.3">
      <c r="B56" s="119"/>
      <c r="C56" s="120"/>
      <c r="D56" s="120"/>
      <c r="E56" s="122"/>
      <c r="F56" s="122"/>
      <c r="G56" s="120"/>
      <c r="H56" s="120"/>
      <c r="I56" s="120"/>
      <c r="J56" s="120"/>
      <c r="K56" s="120"/>
      <c r="L56" s="120"/>
      <c r="M56" s="120"/>
      <c r="N56" s="120"/>
      <c r="O56" s="120"/>
      <c r="P56" s="121"/>
    </row>
    <row r="57" spans="2:16" ht="21.75" thickBot="1" x14ac:dyDescent="0.4">
      <c r="B57" s="119"/>
      <c r="C57" s="377" t="s">
        <v>1</v>
      </c>
      <c r="D57" s="378"/>
      <c r="E57" s="379"/>
      <c r="F57" s="120"/>
      <c r="G57" s="370">
        <f>COUNTIF(Plano_Resposta!H8:H27,1)</f>
        <v>3</v>
      </c>
      <c r="H57" s="371"/>
      <c r="I57" s="123"/>
      <c r="J57" s="380">
        <f>COUNTIF(Plano_Resposta!J8:J27,1)</f>
        <v>11</v>
      </c>
      <c r="K57" s="381"/>
      <c r="L57" s="120"/>
      <c r="M57" s="374">
        <f>J57-G57</f>
        <v>8</v>
      </c>
      <c r="N57" s="375"/>
      <c r="O57" s="120"/>
      <c r="P57" s="121"/>
    </row>
    <row r="58" spans="2:16" ht="21.75" thickBot="1" x14ac:dyDescent="0.4">
      <c r="B58" s="119"/>
      <c r="C58" s="377" t="s">
        <v>173</v>
      </c>
      <c r="D58" s="378"/>
      <c r="E58" s="379"/>
      <c r="F58" s="120"/>
      <c r="G58" s="370">
        <f>COUNTIF(Plano_Resposta!H8:H27,2)</f>
        <v>15</v>
      </c>
      <c r="H58" s="371"/>
      <c r="I58" s="123"/>
      <c r="J58" s="370">
        <f>COUNTIF(Plano_Resposta!J8:J27,2)</f>
        <v>7</v>
      </c>
      <c r="K58" s="371"/>
      <c r="L58" s="120"/>
      <c r="M58" s="374">
        <f>J58-G58</f>
        <v>-8</v>
      </c>
      <c r="N58" s="375"/>
      <c r="O58" s="120"/>
      <c r="P58" s="121"/>
    </row>
    <row r="59" spans="2:16" ht="21.75" thickBot="1" x14ac:dyDescent="0.4">
      <c r="B59" s="119"/>
      <c r="C59" s="377" t="s">
        <v>117</v>
      </c>
      <c r="D59" s="378"/>
      <c r="E59" s="379"/>
      <c r="F59" s="120"/>
      <c r="G59" s="370">
        <f>COUNTIF(Plano_Resposta!H8:H27,3)</f>
        <v>2</v>
      </c>
      <c r="H59" s="371"/>
      <c r="I59" s="123"/>
      <c r="J59" s="382">
        <f>COUNTIF(Plano_Resposta!J8:J27,3)</f>
        <v>2</v>
      </c>
      <c r="K59" s="383"/>
      <c r="L59" s="120"/>
      <c r="M59" s="374">
        <f>J59-G59</f>
        <v>0</v>
      </c>
      <c r="N59" s="375"/>
      <c r="O59" s="120"/>
      <c r="P59" s="121"/>
    </row>
    <row r="60" spans="2:16" ht="19.5" x14ac:dyDescent="0.3">
      <c r="B60" s="119"/>
      <c r="C60" s="369"/>
      <c r="D60" s="369"/>
      <c r="E60" s="369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1"/>
    </row>
    <row r="61" spans="2:16" x14ac:dyDescent="0.25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1"/>
    </row>
    <row r="62" spans="2:16" x14ac:dyDescent="0.25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1"/>
    </row>
    <row r="63" spans="2:16" x14ac:dyDescent="0.25">
      <c r="B63" s="124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6"/>
    </row>
  </sheetData>
  <mergeCells count="17">
    <mergeCell ref="M59:N59"/>
    <mergeCell ref="N29:N30"/>
    <mergeCell ref="C57:E57"/>
    <mergeCell ref="C58:E58"/>
    <mergeCell ref="C59:E59"/>
    <mergeCell ref="J55:K55"/>
    <mergeCell ref="J57:K57"/>
    <mergeCell ref="J58:K58"/>
    <mergeCell ref="J59:K59"/>
    <mergeCell ref="M55:N55"/>
    <mergeCell ref="M57:N57"/>
    <mergeCell ref="M58:N58"/>
    <mergeCell ref="C60:E60"/>
    <mergeCell ref="G57:H57"/>
    <mergeCell ref="G58:H58"/>
    <mergeCell ref="G59:H59"/>
    <mergeCell ref="G55:H5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&amp;C&amp;"calibri,Regular"&amp;10Classificação da Informação: &amp;"calibri,Bold"Uso Irrestrito</oddFooter>
    <evenFooter>&amp;C&amp;"calibri,Regular"&amp;10Classificação da Informação: &amp;"calibri,Bold"Uso Irrestrito</evenFooter>
    <firstFooter>&amp;C&amp;"calibri,Regular"&amp;10Classificação da Informação: &amp;"calibri,Bold"Uso Irrestrito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Qualificação</vt:lpstr>
      <vt:lpstr>Indicadores</vt:lpstr>
      <vt:lpstr>Identificar</vt:lpstr>
      <vt:lpstr>Analise_Qualitativa</vt:lpstr>
      <vt:lpstr>Analise_Quantitativa</vt:lpstr>
      <vt:lpstr>Plano_Resposta</vt:lpstr>
      <vt:lpstr>Monitoramento_Controle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J. Rech</dc:creator>
  <cp:keywords>Uso Irrestrito</cp:keywords>
  <cp:lastModifiedBy>Mauro Sotille</cp:lastModifiedBy>
  <cp:lastPrinted>2012-05-15T16:56:28Z</cp:lastPrinted>
  <dcterms:created xsi:type="dcterms:W3CDTF">2012-03-22T20:47:26Z</dcterms:created>
  <dcterms:modified xsi:type="dcterms:W3CDTF">2017-05-20T18:37:40Z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03ad17db-d35d-4208-86c9-75fd168221f9</vt:lpwstr>
  </property>
  <property fmtid="{D5CDD505-2E9C-101B-9397-08002B2CF9AE}" pid="3" name="SicrediClassificação">
    <vt:lpwstr>Uso Irrestrito</vt:lpwstr>
  </property>
</Properties>
</file>