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3_ncr:1_{ECC968F5-FBC0-4DE2-9B5F-CD1257D9FAD4}" xr6:coauthVersionLast="31" xr6:coauthVersionMax="31" xr10:uidLastSave="{00000000-0000-0000-0000-000000000000}"/>
  <bookViews>
    <workbookView xWindow="0" yWindow="0" windowWidth="22260" windowHeight="12645" xr2:uid="{00000000-000D-0000-FFFF-FFFF00000000}"/>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4" i="1" l="1"/>
  <c r="I64" i="1"/>
  <c r="K61" i="1"/>
  <c r="K62" i="1"/>
  <c r="K63" i="1"/>
  <c r="K64" i="1"/>
  <c r="K60" i="1"/>
  <c r="C61" i="1"/>
  <c r="E61" i="1" s="1"/>
  <c r="C62" i="1"/>
  <c r="E62" i="1" s="1"/>
  <c r="C63" i="1"/>
  <c r="C60" i="1"/>
  <c r="B62" i="1"/>
  <c r="D62" i="1" s="1"/>
  <c r="B61" i="1"/>
  <c r="D61" i="1" s="1"/>
  <c r="B60" i="1"/>
  <c r="B57" i="1"/>
  <c r="E63" i="1" s="1"/>
  <c r="A57" i="1"/>
  <c r="D63" i="1" s="1"/>
  <c r="C43" i="1"/>
  <c r="A39" i="1"/>
  <c r="E33" i="1"/>
  <c r="C33" i="1"/>
  <c r="A33" i="1"/>
  <c r="D33" i="1"/>
  <c r="B33" i="1"/>
  <c r="F33" i="1" s="1"/>
  <c r="D20" i="1"/>
  <c r="B20" i="1"/>
  <c r="D19" i="1"/>
  <c r="F19" i="1" s="1"/>
  <c r="E20" i="1"/>
  <c r="C20" i="1"/>
  <c r="E19" i="1"/>
  <c r="C19" i="1"/>
  <c r="G19" i="1" s="1"/>
  <c r="C8" i="1"/>
  <c r="C39" i="1" s="1"/>
  <c r="A5" i="1"/>
  <c r="F62" i="1" s="1"/>
  <c r="H62" i="1" s="1"/>
  <c r="F12" i="1"/>
  <c r="D12" i="1"/>
  <c r="B12" i="1"/>
  <c r="E12" i="1"/>
  <c r="G12" i="1" s="1"/>
  <c r="C12" i="1"/>
  <c r="E11" i="1"/>
  <c r="G11" i="1" s="1"/>
  <c r="C11" i="1"/>
  <c r="D11" i="1"/>
  <c r="F11" i="1" s="1"/>
  <c r="B11" i="1"/>
  <c r="F13" i="1" l="1"/>
  <c r="G13" i="1"/>
  <c r="G21" i="1"/>
  <c r="D60" i="1"/>
  <c r="F60" i="1" s="1"/>
  <c r="E60" i="1"/>
  <c r="F61" i="1"/>
  <c r="H61" i="1" s="1"/>
  <c r="A16" i="1"/>
  <c r="G20" i="1"/>
  <c r="F63" i="1"/>
  <c r="H63" i="1" s="1"/>
  <c r="A36" i="1"/>
  <c r="B36" i="1" s="1"/>
  <c r="D36" i="1" s="1"/>
  <c r="G62" i="1"/>
  <c r="I62" i="1" s="1"/>
  <c r="F20" i="1"/>
  <c r="F21" i="1"/>
  <c r="A24" i="1" s="1"/>
  <c r="B24" i="1" s="1"/>
  <c r="G61" i="1" l="1"/>
  <c r="I61" i="1" s="1"/>
  <c r="H60" i="1"/>
  <c r="G60" i="1"/>
  <c r="I60" i="1" s="1"/>
  <c r="C36" i="1"/>
  <c r="C16" i="1"/>
  <c r="B16" i="1"/>
  <c r="D16" i="1" s="1"/>
  <c r="G63" i="1"/>
  <c r="I63" i="1" s="1"/>
  <c r="C24" i="1"/>
  <c r="D24" i="1"/>
</calcChain>
</file>

<file path=xl/sharedStrings.xml><?xml version="1.0" encoding="utf-8"?>
<sst xmlns="http://schemas.openxmlformats.org/spreadsheetml/2006/main" count="64" uniqueCount="45">
  <si>
    <t>Method of first- and second-order normal incidence</t>
  </si>
  <si>
    <t>Order</t>
  </si>
  <si>
    <t>Measurement of wavelength of sodium D2 line</t>
  </si>
  <si>
    <r>
      <t xml:space="preserve">Theoretical </t>
    </r>
    <r>
      <rPr>
        <sz val="11"/>
        <color theme="1"/>
        <rFont val="Calibri"/>
        <family val="2"/>
      </rPr>
      <t>λ</t>
    </r>
    <r>
      <rPr>
        <sz val="11"/>
        <color theme="1"/>
        <rFont val="Calibri"/>
        <family val="2"/>
        <scheme val="minor"/>
      </rPr>
      <t xml:space="preserve"> (nm)</t>
    </r>
  </si>
  <si>
    <t>AVG</t>
  </si>
  <si>
    <t>θ1 (deg)</t>
  </si>
  <si>
    <t>θ2 (deg)</t>
  </si>
  <si>
    <t>Δθ (deg)</t>
  </si>
  <si>
    <t>Slit spacing (m/line)</t>
  </si>
  <si>
    <r>
      <t xml:space="preserve">Observed </t>
    </r>
    <r>
      <rPr>
        <sz val="11"/>
        <color theme="1"/>
        <rFont val="Calibri"/>
        <family val="2"/>
      </rPr>
      <t>λ (nm)</t>
    </r>
  </si>
  <si>
    <r>
      <t xml:space="preserve">Theoretical </t>
    </r>
    <r>
      <rPr>
        <sz val="11"/>
        <color theme="1"/>
        <rFont val="Calibri"/>
        <family val="2"/>
      </rPr>
      <t>λ</t>
    </r>
    <r>
      <rPr>
        <sz val="11"/>
        <color theme="1"/>
        <rFont val="Calibri"/>
        <family val="2"/>
        <scheme val="minor"/>
      </rPr>
      <t xml:space="preserve"> (Å)</t>
    </r>
  </si>
  <si>
    <r>
      <t xml:space="preserve">Observed </t>
    </r>
    <r>
      <rPr>
        <sz val="11"/>
        <color theme="1"/>
        <rFont val="Calibri"/>
        <family val="2"/>
      </rPr>
      <t>λ (Å)</t>
    </r>
  </si>
  <si>
    <t>The second order measurement has the advantage of having a larger diffraction angle and therefore a smaller relative uncertainty. The first order measurement has the advantage that the first order peaks were slightly brighter and therefore easier to spot.</t>
  </si>
  <si>
    <t>Method of minimum deviation</t>
  </si>
  <si>
    <t>Measurement of wavelength of sodium D2 and D1 lines</t>
  </si>
  <si>
    <t>θmin (deg)</t>
  </si>
  <si>
    <t>Sodium D2 line</t>
  </si>
  <si>
    <t>Sodium D1 line</t>
  </si>
  <si>
    <t>The precision of the measurement didn't allow me to compare the result for D2 to that of D1 since the theoretical values were closer together than both the uncertainty in my measurement and the true value and my measured value.</t>
  </si>
  <si>
    <t>This method is, however, more accurate than the method of normal incidence since the method of minimum deviation doesn't depend on lining up the initial angle of normal incidence by eye.</t>
  </si>
  <si>
    <t>Identification of unknown gas species</t>
  </si>
  <si>
    <t>Qualitative observations</t>
  </si>
  <si>
    <t>Measurements of spectrum</t>
  </si>
  <si>
    <t>θ0 (deg)</t>
  </si>
  <si>
    <t>Violet</t>
  </si>
  <si>
    <t>Blue</t>
  </si>
  <si>
    <t>Darker green</t>
  </si>
  <si>
    <t>Lighter green</t>
  </si>
  <si>
    <t>θ (deg)</t>
  </si>
  <si>
    <t>Include spectrum graph of He in report</t>
  </si>
  <si>
    <t>Dim</t>
  </si>
  <si>
    <t>Very dim</t>
  </si>
  <si>
    <t>Bright</t>
  </si>
  <si>
    <t>Gas species #1</t>
  </si>
  <si>
    <t>The lamp glows in a light pink color.</t>
  </si>
  <si>
    <t>Observed intensity</t>
  </si>
  <si>
    <r>
      <t xml:space="preserve">Reported </t>
    </r>
    <r>
      <rPr>
        <sz val="11"/>
        <color theme="1"/>
        <rFont val="Calibri"/>
        <family val="2"/>
      </rPr>
      <t>λ (nm)</t>
    </r>
  </si>
  <si>
    <r>
      <t xml:space="preserve">Reported </t>
    </r>
    <r>
      <rPr>
        <sz val="11"/>
        <color theme="1"/>
        <rFont val="Calibri"/>
        <family val="2"/>
      </rPr>
      <t>λ (Å)</t>
    </r>
  </si>
  <si>
    <t>Reported intensity</t>
  </si>
  <si>
    <t>Very bright</t>
  </si>
  <si>
    <t>Based on comparing our qualitative and measured observations with the reported data and the graph of the spectrum, I deduced that the unknown gas was helium.</t>
  </si>
  <si>
    <t>Orange*</t>
  </si>
  <si>
    <t>* indicates value estimated qualitatively</t>
  </si>
  <si>
    <t>Line</t>
  </si>
  <si>
    <t>There is a relatively dim violet line and a slightly brighter blue line just outside it. Further out, there are a couple much brighter green lines. The brightest line is an orange one of about 600nm.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</si>
</sst>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8"/>
      <color theme="3"/>
      <name val="Calibri Light"/>
      <family val="2"/>
      <scheme val="major"/>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1" fillId="0" borderId="0" xfId="1"/>
    <xf numFmtId="0" fontId="2" fillId="0" borderId="0" xfId="0" applyFont="1"/>
    <xf numFmtId="2" fontId="0" fillId="0" borderId="0" xfId="0" applyNumberFormat="1"/>
    <xf numFmtId="164" fontId="0" fillId="0" borderId="0" xfId="0" applyNumberFormat="1"/>
    <xf numFmtId="11" fontId="0" fillId="0" borderId="0" xfId="0" applyNumberFormat="1"/>
    <xf numFmtId="1" fontId="0" fillId="0" borderId="0" xfId="0" applyNumberFormat="1"/>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
  <sheetViews>
    <sheetView tabSelected="1" topLeftCell="A55" workbookViewId="0">
      <selection activeCell="F72" sqref="F72"/>
    </sheetView>
  </sheetViews>
  <sheetFormatPr defaultRowHeight="15" x14ac:dyDescent="0.25"/>
  <cols>
    <col min="1" max="1" width="9.5703125" customWidth="1"/>
    <col min="2" max="2" width="9.5703125" bestFit="1" customWidth="1"/>
  </cols>
  <sheetData>
    <row r="1" spans="1:7" ht="23.25" x14ac:dyDescent="0.35">
      <c r="A1" s="1" t="s">
        <v>0</v>
      </c>
    </row>
    <row r="2" spans="1:7" x14ac:dyDescent="0.25">
      <c r="A2" t="s">
        <v>2</v>
      </c>
    </row>
    <row r="4" spans="1:7" x14ac:dyDescent="0.25">
      <c r="A4" t="s">
        <v>8</v>
      </c>
    </row>
    <row r="5" spans="1:7" x14ac:dyDescent="0.25">
      <c r="A5" s="5">
        <f>(1/600)*10^-3</f>
        <v>1.6666666666666669E-6</v>
      </c>
    </row>
    <row r="7" spans="1:7" x14ac:dyDescent="0.25">
      <c r="A7" t="s">
        <v>3</v>
      </c>
      <c r="C7" t="s">
        <v>10</v>
      </c>
    </row>
    <row r="8" spans="1:7" x14ac:dyDescent="0.25">
      <c r="A8">
        <v>588.995</v>
      </c>
      <c r="C8">
        <f>A8*10</f>
        <v>5889.95</v>
      </c>
    </row>
    <row r="10" spans="1:7" x14ac:dyDescent="0.25">
      <c r="A10" t="s">
        <v>1</v>
      </c>
      <c r="B10" s="2" t="s">
        <v>5</v>
      </c>
      <c r="D10" t="s">
        <v>6</v>
      </c>
      <c r="F10" s="2" t="s">
        <v>7</v>
      </c>
    </row>
    <row r="11" spans="1:7" x14ac:dyDescent="0.25">
      <c r="A11">
        <v>1</v>
      </c>
      <c r="B11">
        <f>99+(3/60)</f>
        <v>99.05</v>
      </c>
      <c r="C11" s="3">
        <f>1/60</f>
        <v>1.6666666666666666E-2</v>
      </c>
      <c r="D11" s="3">
        <f>119.5+(1/60)</f>
        <v>119.51666666666667</v>
      </c>
      <c r="E11" s="3">
        <f>1/60</f>
        <v>1.6666666666666666E-2</v>
      </c>
      <c r="F11" s="3">
        <f>ABS(D11-B11)</f>
        <v>20.466666666666669</v>
      </c>
      <c r="G11" s="3">
        <f>E11+C11</f>
        <v>3.3333333333333333E-2</v>
      </c>
    </row>
    <row r="12" spans="1:7" x14ac:dyDescent="0.25">
      <c r="A12">
        <v>-1</v>
      </c>
      <c r="B12" s="3">
        <f>117</f>
        <v>117</v>
      </c>
      <c r="C12" s="3">
        <f>1/60</f>
        <v>1.6666666666666666E-2</v>
      </c>
      <c r="D12" s="3">
        <f>137.5 + (1/60)</f>
        <v>137.51666666666668</v>
      </c>
      <c r="E12" s="3">
        <f>1/60</f>
        <v>1.6666666666666666E-2</v>
      </c>
      <c r="F12" s="3">
        <f>ABS(D12-B12)</f>
        <v>20.51666666666668</v>
      </c>
      <c r="G12" s="3">
        <f>E12+C12</f>
        <v>3.3333333333333333E-2</v>
      </c>
    </row>
    <row r="13" spans="1:7" x14ac:dyDescent="0.25">
      <c r="A13" t="s">
        <v>4</v>
      </c>
      <c r="F13" s="3">
        <f>AVERAGE(F11:F12)</f>
        <v>20.491666666666674</v>
      </c>
      <c r="G13" s="3">
        <f>_xlfn.STDEV.S(F11:F12)/SQRT(COUNT(F11:F12))</f>
        <v>2.5000000000005681E-2</v>
      </c>
    </row>
    <row r="15" spans="1:7" x14ac:dyDescent="0.25">
      <c r="A15" t="s">
        <v>9</v>
      </c>
      <c r="C15" t="s">
        <v>11</v>
      </c>
    </row>
    <row r="16" spans="1:7" x14ac:dyDescent="0.25">
      <c r="A16" s="4">
        <f>$A$5*SIN(2*PI()*(F13/360))*(10^9)</f>
        <v>583.4519068469798</v>
      </c>
      <c r="B16" s="4">
        <f>A16*(G13/F13)</f>
        <v>0.71181607179395545</v>
      </c>
      <c r="C16" s="6">
        <f>10*A16</f>
        <v>5834.5190684697982</v>
      </c>
      <c r="D16" s="6">
        <f>10*B16</f>
        <v>7.1181607179395545</v>
      </c>
    </row>
    <row r="18" spans="1:7" x14ac:dyDescent="0.25">
      <c r="A18" t="s">
        <v>1</v>
      </c>
      <c r="B18" s="2" t="s">
        <v>5</v>
      </c>
      <c r="D18" t="s">
        <v>6</v>
      </c>
      <c r="F18" s="2" t="s">
        <v>7</v>
      </c>
    </row>
    <row r="19" spans="1:7" x14ac:dyDescent="0.25">
      <c r="A19">
        <v>2</v>
      </c>
      <c r="B19" s="3">
        <v>119</v>
      </c>
      <c r="C19" s="3">
        <f>1/60</f>
        <v>1.6666666666666666E-2</v>
      </c>
      <c r="D19" s="3">
        <f>164</f>
        <v>164</v>
      </c>
      <c r="E19" s="3">
        <f>1/60</f>
        <v>1.6666666666666666E-2</v>
      </c>
      <c r="F19" s="3">
        <f>ABS(D19-B19)</f>
        <v>45</v>
      </c>
      <c r="G19" s="3">
        <f>E19+C19</f>
        <v>3.3333333333333333E-2</v>
      </c>
    </row>
    <row r="20" spans="1:7" x14ac:dyDescent="0.25">
      <c r="A20">
        <v>-2</v>
      </c>
      <c r="B20" s="3">
        <f>118.5+(2/60)</f>
        <v>118.53333333333333</v>
      </c>
      <c r="C20" s="3">
        <f>1/60</f>
        <v>1.6666666666666666E-2</v>
      </c>
      <c r="D20" s="3">
        <f>74</f>
        <v>74</v>
      </c>
      <c r="E20" s="3">
        <f>1/60</f>
        <v>1.6666666666666666E-2</v>
      </c>
      <c r="F20" s="3">
        <f>ABS(D20-B20)</f>
        <v>44.533333333333331</v>
      </c>
      <c r="G20" s="3">
        <f>E20+C20</f>
        <v>3.3333333333333333E-2</v>
      </c>
    </row>
    <row r="21" spans="1:7" x14ac:dyDescent="0.25">
      <c r="A21" t="s">
        <v>4</v>
      </c>
      <c r="F21" s="3">
        <f>AVERAGE(F19:F20)</f>
        <v>44.766666666666666</v>
      </c>
      <c r="G21" s="3">
        <f>AVERAGE(G19:G20)</f>
        <v>3.3333333333333333E-2</v>
      </c>
    </row>
    <row r="23" spans="1:7" x14ac:dyDescent="0.25">
      <c r="A23" t="s">
        <v>9</v>
      </c>
      <c r="C23" t="s">
        <v>11</v>
      </c>
    </row>
    <row r="24" spans="1:7" x14ac:dyDescent="0.25">
      <c r="A24" s="4">
        <f>$A$5*SIN(2*PI()*(F21/360))*(10^9)*0.5</f>
        <v>586.8510660161279</v>
      </c>
      <c r="B24" s="4">
        <f>A24*(G21/F21)</f>
        <v>0.43697026509019204</v>
      </c>
      <c r="C24" s="6">
        <f>10*A24</f>
        <v>5868.5106601612788</v>
      </c>
      <c r="D24" s="6">
        <f>10*B24</f>
        <v>4.3697026509019201</v>
      </c>
    </row>
    <row r="26" spans="1:7" x14ac:dyDescent="0.25">
      <c r="A26" t="s">
        <v>12</v>
      </c>
    </row>
    <row r="28" spans="1:7" ht="23.25" x14ac:dyDescent="0.35">
      <c r="A28" s="1" t="s">
        <v>13</v>
      </c>
    </row>
    <row r="29" spans="1:7" x14ac:dyDescent="0.25">
      <c r="A29" t="s">
        <v>14</v>
      </c>
    </row>
    <row r="31" spans="1:7" x14ac:dyDescent="0.25">
      <c r="A31" t="s">
        <v>16</v>
      </c>
    </row>
    <row r="32" spans="1:7" x14ac:dyDescent="0.25">
      <c r="A32" s="2" t="s">
        <v>5</v>
      </c>
      <c r="C32" t="s">
        <v>6</v>
      </c>
      <c r="E32" s="2" t="s">
        <v>15</v>
      </c>
    </row>
    <row r="33" spans="1:6" x14ac:dyDescent="0.25">
      <c r="A33" s="3">
        <f>95.5+(2/60)</f>
        <v>95.533333333333331</v>
      </c>
      <c r="B33" s="3">
        <f>1/60</f>
        <v>1.6666666666666666E-2</v>
      </c>
      <c r="C33" s="3">
        <f>116+(1/60)</f>
        <v>116.01666666666667</v>
      </c>
      <c r="D33" s="3">
        <f>1/60</f>
        <v>1.6666666666666666E-2</v>
      </c>
      <c r="E33" s="3">
        <f>ABS(C33-A33)</f>
        <v>20.483333333333334</v>
      </c>
      <c r="F33" s="3">
        <f>D33+B33</f>
        <v>3.3333333333333333E-2</v>
      </c>
    </row>
    <row r="35" spans="1:6" x14ac:dyDescent="0.25">
      <c r="A35" t="s">
        <v>9</v>
      </c>
      <c r="C35" t="s">
        <v>11</v>
      </c>
    </row>
    <row r="36" spans="1:6" x14ac:dyDescent="0.25">
      <c r="A36" s="4">
        <f>2*$A$5*SIN(2*PI()*(E33/(2*360)))*(10^9)</f>
        <v>592.66806891447447</v>
      </c>
      <c r="B36" s="4">
        <f>A36*(F33/E33)</f>
        <v>0.96447204054430347</v>
      </c>
      <c r="C36" s="6">
        <f>10*A36</f>
        <v>5926.680689144745</v>
      </c>
      <c r="D36" s="6">
        <f>10*B36</f>
        <v>9.6447204054430351</v>
      </c>
    </row>
    <row r="38" spans="1:6" x14ac:dyDescent="0.25">
      <c r="A38" t="s">
        <v>3</v>
      </c>
      <c r="C38" t="s">
        <v>10</v>
      </c>
    </row>
    <row r="39" spans="1:6" x14ac:dyDescent="0.25">
      <c r="A39">
        <f>A8</f>
        <v>588.995</v>
      </c>
      <c r="C39">
        <f t="shared" ref="C39" si="0">C8</f>
        <v>5889.95</v>
      </c>
    </row>
    <row r="41" spans="1:6" x14ac:dyDescent="0.25">
      <c r="A41" t="s">
        <v>17</v>
      </c>
    </row>
    <row r="42" spans="1:6" x14ac:dyDescent="0.25">
      <c r="A42" t="s">
        <v>3</v>
      </c>
      <c r="C42" t="s">
        <v>10</v>
      </c>
    </row>
    <row r="43" spans="1:6" x14ac:dyDescent="0.25">
      <c r="A43">
        <v>589.59199999999998</v>
      </c>
      <c r="C43">
        <f>10*A43</f>
        <v>5895.92</v>
      </c>
    </row>
    <row r="45" spans="1:6" x14ac:dyDescent="0.25">
      <c r="A45" t="s">
        <v>18</v>
      </c>
    </row>
    <row r="46" spans="1:6" x14ac:dyDescent="0.25">
      <c r="A46" t="s">
        <v>19</v>
      </c>
    </row>
    <row r="48" spans="1:6" ht="23.25" x14ac:dyDescent="0.35">
      <c r="A48" s="1" t="s">
        <v>20</v>
      </c>
    </row>
    <row r="49" spans="1:13" x14ac:dyDescent="0.25">
      <c r="A49" t="s">
        <v>33</v>
      </c>
    </row>
    <row r="51" spans="1:13" x14ac:dyDescent="0.25">
      <c r="A51" t="s">
        <v>21</v>
      </c>
    </row>
    <row r="52" spans="1:13" x14ac:dyDescent="0.25">
      <c r="A52" t="s">
        <v>34</v>
      </c>
    </row>
    <row r="53" spans="1:13" x14ac:dyDescent="0.25">
      <c r="A53" t="s">
        <v>44</v>
      </c>
    </row>
    <row r="55" spans="1:13" x14ac:dyDescent="0.25">
      <c r="A55" t="s">
        <v>22</v>
      </c>
    </row>
    <row r="56" spans="1:13" x14ac:dyDescent="0.25">
      <c r="A56" s="2" t="s">
        <v>23</v>
      </c>
    </row>
    <row r="57" spans="1:13" x14ac:dyDescent="0.25">
      <c r="A57" s="3">
        <f>104.5</f>
        <v>104.5</v>
      </c>
      <c r="B57" s="3">
        <f>1/60</f>
        <v>1.6666666666666666E-2</v>
      </c>
    </row>
    <row r="59" spans="1:13" x14ac:dyDescent="0.25">
      <c r="A59" t="s">
        <v>43</v>
      </c>
      <c r="B59" s="2" t="s">
        <v>28</v>
      </c>
      <c r="D59" s="2" t="s">
        <v>7</v>
      </c>
      <c r="F59" t="s">
        <v>9</v>
      </c>
      <c r="H59" t="s">
        <v>11</v>
      </c>
      <c r="J59" t="s">
        <v>35</v>
      </c>
      <c r="K59" t="s">
        <v>36</v>
      </c>
      <c r="L59" t="s">
        <v>37</v>
      </c>
      <c r="M59" t="s">
        <v>38</v>
      </c>
    </row>
    <row r="60" spans="1:13" x14ac:dyDescent="0.25">
      <c r="A60" t="s">
        <v>24</v>
      </c>
      <c r="B60" s="3">
        <f>120</f>
        <v>120</v>
      </c>
      <c r="C60" s="3">
        <f>1/60</f>
        <v>1.6666666666666666E-2</v>
      </c>
      <c r="D60" s="3">
        <f>ABS(B60-$A$57)</f>
        <v>15.5</v>
      </c>
      <c r="E60" s="3">
        <f>$B$57+C60</f>
        <v>3.3333333333333333E-2</v>
      </c>
      <c r="F60" s="6">
        <f>$A$5*SIN(2*PI()*(D60/360))*(10^9)</f>
        <v>445.39729346376146</v>
      </c>
      <c r="G60" s="6">
        <f>F60*(E60/D60)</f>
        <v>0.95784364185755155</v>
      </c>
      <c r="H60" s="6">
        <f>MROUND(10*F60,10)</f>
        <v>4450</v>
      </c>
      <c r="I60" s="6">
        <f>10*G60</f>
        <v>9.5784364185755155</v>
      </c>
      <c r="J60" t="s">
        <v>31</v>
      </c>
      <c r="K60">
        <f>L60/10</f>
        <v>447.1</v>
      </c>
      <c r="L60">
        <v>4471</v>
      </c>
      <c r="M60">
        <v>25</v>
      </c>
    </row>
    <row r="61" spans="1:13" x14ac:dyDescent="0.25">
      <c r="A61" t="s">
        <v>25</v>
      </c>
      <c r="B61" s="3">
        <f>120.5+(19/60)</f>
        <v>120.81666666666666</v>
      </c>
      <c r="C61" s="3">
        <f t="shared" ref="C61:C63" si="1">1/60</f>
        <v>1.6666666666666666E-2</v>
      </c>
      <c r="D61" s="3">
        <f t="shared" ref="D61:D63" si="2">ABS(B61-$A$57)</f>
        <v>16.316666666666663</v>
      </c>
      <c r="E61" s="3">
        <f t="shared" ref="E61:E63" si="3">$B$57+C61</f>
        <v>3.3333333333333333E-2</v>
      </c>
      <c r="F61" s="6">
        <f t="shared" ref="F61:F63" si="4">$A$5*SIN(2*PI()*(D61/360))*(10^9)</f>
        <v>468.24315514076812</v>
      </c>
      <c r="G61" s="6">
        <f t="shared" ref="G61:G63" si="5">F61*(E61/D61)</f>
        <v>0.95657437209554286</v>
      </c>
      <c r="H61" s="6">
        <f t="shared" ref="H61:H63" si="6">MROUND(10*F61,10)</f>
        <v>4680</v>
      </c>
      <c r="I61" s="6">
        <f t="shared" ref="I61:I63" si="7">10*G61</f>
        <v>9.5657437209554281</v>
      </c>
      <c r="J61" t="s">
        <v>30</v>
      </c>
      <c r="K61">
        <f>L61/10</f>
        <v>471.3</v>
      </c>
      <c r="L61">
        <v>4713</v>
      </c>
      <c r="M61">
        <v>30</v>
      </c>
    </row>
    <row r="62" spans="1:13" x14ac:dyDescent="0.25">
      <c r="A62" t="s">
        <v>26</v>
      </c>
      <c r="B62" s="3">
        <f>121.5+(9/60)</f>
        <v>121.65</v>
      </c>
      <c r="C62" s="3">
        <f t="shared" si="1"/>
        <v>1.6666666666666666E-2</v>
      </c>
      <c r="D62" s="3">
        <f t="shared" si="2"/>
        <v>17.150000000000006</v>
      </c>
      <c r="E62" s="3">
        <f t="shared" si="3"/>
        <v>3.3333333333333333E-2</v>
      </c>
      <c r="F62" s="6">
        <f t="shared" si="4"/>
        <v>491.4571665299647</v>
      </c>
      <c r="G62" s="6">
        <f t="shared" si="5"/>
        <v>0.95521315166173859</v>
      </c>
      <c r="H62" s="6">
        <f t="shared" si="6"/>
        <v>4910</v>
      </c>
      <c r="I62" s="6">
        <f t="shared" si="7"/>
        <v>9.5521315166173864</v>
      </c>
      <c r="J62" t="s">
        <v>32</v>
      </c>
      <c r="K62">
        <f>L62/10</f>
        <v>492.2</v>
      </c>
      <c r="L62">
        <v>4922</v>
      </c>
      <c r="M62">
        <v>20</v>
      </c>
    </row>
    <row r="63" spans="1:13" x14ac:dyDescent="0.25">
      <c r="A63" t="s">
        <v>27</v>
      </c>
      <c r="B63" s="3">
        <v>122</v>
      </c>
      <c r="C63" s="3">
        <f t="shared" si="1"/>
        <v>1.6666666666666666E-2</v>
      </c>
      <c r="D63" s="3">
        <f t="shared" si="2"/>
        <v>17.5</v>
      </c>
      <c r="E63" s="3">
        <f t="shared" si="3"/>
        <v>3.3333333333333333E-2</v>
      </c>
      <c r="F63" s="6">
        <f t="shared" si="4"/>
        <v>501.17633250712186</v>
      </c>
      <c r="G63" s="6">
        <f t="shared" si="5"/>
        <v>0.95462158572785116</v>
      </c>
      <c r="H63" s="6">
        <f t="shared" si="6"/>
        <v>5010</v>
      </c>
      <c r="I63" s="6">
        <f t="shared" si="7"/>
        <v>9.5462158572785114</v>
      </c>
      <c r="J63" t="s">
        <v>32</v>
      </c>
      <c r="K63">
        <f>L63/10</f>
        <v>501.6</v>
      </c>
      <c r="L63">
        <v>5016</v>
      </c>
      <c r="M63">
        <v>100</v>
      </c>
    </row>
    <row r="64" spans="1:13" x14ac:dyDescent="0.25">
      <c r="A64" t="s">
        <v>41</v>
      </c>
      <c r="F64">
        <v>600</v>
      </c>
      <c r="G64">
        <v>30</v>
      </c>
      <c r="H64" s="6">
        <f t="shared" ref="H64" si="8">MROUND(10*F64,10)</f>
        <v>6000</v>
      </c>
      <c r="I64" s="6">
        <f t="shared" ref="I64" si="9">10*G64</f>
        <v>300</v>
      </c>
      <c r="J64" t="s">
        <v>39</v>
      </c>
      <c r="K64">
        <f>L64/10</f>
        <v>587.6</v>
      </c>
      <c r="L64">
        <v>5876</v>
      </c>
      <c r="M64">
        <v>500</v>
      </c>
    </row>
    <row r="66" spans="1:1" x14ac:dyDescent="0.25">
      <c r="A66" t="s">
        <v>42</v>
      </c>
    </row>
    <row r="68" spans="1:1" x14ac:dyDescent="0.25">
      <c r="A68" t="s">
        <v>40</v>
      </c>
    </row>
    <row r="70" spans="1:1" x14ac:dyDescent="0.25">
      <c r="A70" t="s">
        <v>29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2018-04-18T00:12:21Z</dcterms:modified>
</cp:coreProperties>
</file>