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2" l="1"/>
  <c r="H13" i="2"/>
  <c r="H14" i="2"/>
  <c r="H11" i="2"/>
  <c r="G12" i="2"/>
  <c r="G13" i="2"/>
  <c r="G14" i="2"/>
  <c r="G11" i="2"/>
  <c r="F14" i="2"/>
  <c r="F13" i="2"/>
  <c r="F12" i="2"/>
  <c r="F11" i="2"/>
  <c r="D12" i="2"/>
  <c r="D13" i="2"/>
  <c r="D14" i="2"/>
  <c r="D15" i="2"/>
  <c r="D11" i="2"/>
  <c r="O9" i="2"/>
  <c r="G8" i="2"/>
  <c r="F8" i="2"/>
  <c r="F6" i="2"/>
  <c r="F7" i="2"/>
  <c r="F5" i="2"/>
  <c r="G6" i="2"/>
  <c r="G7" i="2"/>
  <c r="G5" i="2"/>
  <c r="E6" i="2"/>
  <c r="E7" i="2"/>
  <c r="E5" i="2"/>
  <c r="D5" i="2"/>
  <c r="D6" i="2"/>
  <c r="D7" i="2"/>
  <c r="O7" i="2"/>
  <c r="L10" i="2"/>
  <c r="R4" i="1" l="1"/>
  <c r="B22" i="1" s="1"/>
  <c r="C18" i="1"/>
  <c r="B18" i="1"/>
  <c r="I22" i="1"/>
  <c r="H22" i="1"/>
  <c r="H23" i="1"/>
  <c r="H20" i="1"/>
  <c r="H15" i="1"/>
  <c r="H16" i="1"/>
  <c r="H17" i="1"/>
  <c r="H18" i="1"/>
  <c r="H19" i="1"/>
  <c r="H14" i="1"/>
  <c r="C15" i="1"/>
  <c r="B15" i="1"/>
  <c r="C12" i="1"/>
  <c r="L8" i="2"/>
  <c r="G5" i="1"/>
  <c r="G6" i="1"/>
  <c r="G7" i="1"/>
  <c r="G8" i="1"/>
  <c r="G9" i="1"/>
  <c r="G4" i="1"/>
</calcChain>
</file>

<file path=xl/sharedStrings.xml><?xml version="1.0" encoding="utf-8"?>
<sst xmlns="http://schemas.openxmlformats.org/spreadsheetml/2006/main" count="62" uniqueCount="57">
  <si>
    <t>Part 1</t>
  </si>
  <si>
    <t>Tube Resonance</t>
  </si>
  <si>
    <t>Trial 1 and 2 up, 3 and 4 down</t>
  </si>
  <si>
    <t>Trial</t>
  </si>
  <si>
    <t>L1</t>
  </si>
  <si>
    <t>L2</t>
  </si>
  <si>
    <t>L3</t>
  </si>
  <si>
    <t>L4</t>
  </si>
  <si>
    <t>L5</t>
  </si>
  <si>
    <t>L6</t>
  </si>
  <si>
    <t>Avg</t>
  </si>
  <si>
    <t>Uncertainty</t>
  </si>
  <si>
    <t>Units:</t>
  </si>
  <si>
    <t>meters</t>
  </si>
  <si>
    <t>Tuning fork:</t>
  </si>
  <si>
    <t>freq (Hz)</t>
  </si>
  <si>
    <t>Temperature (*C)</t>
  </si>
  <si>
    <t>Part 2</t>
  </si>
  <si>
    <t>Vibrations of Bar</t>
  </si>
  <si>
    <t>Aluminum Bar</t>
  </si>
  <si>
    <t>Bar #8</t>
  </si>
  <si>
    <t>Dimensions: (m)</t>
  </si>
  <si>
    <t>Mode</t>
  </si>
  <si>
    <t>Freq (Hz)</t>
  </si>
  <si>
    <t>Transverse vibration</t>
  </si>
  <si>
    <t>6061 Aluminum alloy properties</t>
  </si>
  <si>
    <t>mass density (kg/m^3)</t>
  </si>
  <si>
    <t>Young's Modulus (Pa)</t>
  </si>
  <si>
    <t>Poisson ratio</t>
  </si>
  <si>
    <t>n</t>
  </si>
  <si>
    <t>half wavelength (m)</t>
  </si>
  <si>
    <t>wavelength (m)</t>
  </si>
  <si>
    <t>Speed of sound 20C (m/s)</t>
  </si>
  <si>
    <t>End correction</t>
  </si>
  <si>
    <t>Est #</t>
  </si>
  <si>
    <t>Le (cm)</t>
  </si>
  <si>
    <t>Le (diams of pipe)</t>
  </si>
  <si>
    <t>Inner Diam of pipe (m)</t>
  </si>
  <si>
    <t>Le (m)</t>
  </si>
  <si>
    <t>Speed of sound 21.7C (m/s)</t>
  </si>
  <si>
    <t>Air</t>
  </si>
  <si>
    <t>P0 (Pa)</t>
  </si>
  <si>
    <t>Mass density (Kg/m^3)</t>
  </si>
  <si>
    <t>Theoretical speed of sound (m/s)</t>
  </si>
  <si>
    <t>Adiabatic index</t>
  </si>
  <si>
    <t>Accepted Value (m/s)</t>
  </si>
  <si>
    <t>length</t>
  </si>
  <si>
    <t>width</t>
  </si>
  <si>
    <t>thickness</t>
  </si>
  <si>
    <t>Bulk modulus (Pa)</t>
  </si>
  <si>
    <t>Longitudinal vibration</t>
  </si>
  <si>
    <t>Wavelength (m)</t>
  </si>
  <si>
    <t>Exp Speed of sound (m/s)</t>
  </si>
  <si>
    <t>Speed of sound based on Young's modulus and density (m/s)</t>
  </si>
  <si>
    <t>Speed of sound based on Bulk modulus and density (m/s)</t>
  </si>
  <si>
    <t>Predicted Freq (Hz)</t>
  </si>
  <si>
    <t>Theoretical Wavelength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</si>
</sst>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 between adjacent L(n)</a:t>
            </a:r>
            <a:r>
              <a:rPr lang="en-US" baseline="0"/>
              <a:t> markings - linearization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Sheet1!$G$4:$G$9</c:f>
              <c:numCache>
                <c:formatCode>0.00</c:formatCode>
                <c:ptCount val="6"/>
                <c:pt idx="0">
                  <c:v>1.07725</c:v>
                </c:pt>
                <c:pt idx="1">
                  <c:v>0.87799999999999989</c:v>
                </c:pt>
                <c:pt idx="2">
                  <c:v>0.67775000000000007</c:v>
                </c:pt>
                <c:pt idx="3">
                  <c:v>0.47875000000000001</c:v>
                </c:pt>
                <c:pt idx="4">
                  <c:v>0.28199999999999997</c:v>
                </c:pt>
                <c:pt idx="5">
                  <c:v>8.0750000000000002E-2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E0-4235-A0B3-94924F8DB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387936"/>
        <c:axId val="436389576"/>
      </c:scatterChart>
      <c:valAx>
        <c:axId val="43638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389576"/>
        <c:crosses val="autoZero"/>
        <c:crossBetween val="midCat"/>
      </c:valAx>
      <c:valAx>
        <c:axId val="436389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38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Experimental Speed of Sound vs.</a:t>
            </a:r>
            <a:r>
              <a:rPr lang="en-US" baseline="0"/>
              <a:t> Mode Frequency</a:t>
            </a:r>
            <a:endParaRPr lang="en-US"/>
          </a:p>
        </c:rich>
      </c:tx>
      <c:layout>
        <c:manualLayout>
          <c:xMode val="edge"/>
          <c:yMode val="edge"/>
          <c:x val="0.1715000000000000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73975753030871"/>
          <c:y val="0.15824074074074074"/>
          <c:w val="0.80770483689538797"/>
          <c:h val="0.7090434898169374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2.2052843394575677E-2"/>
                  <c:y val="-1.43582843283830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fixedVal"/>
            <c:noEndCap val="0"/>
            <c:val val="3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Sheet2!$B$11:$B$15</c:f>
              <c:numCache>
                <c:formatCode>General</c:formatCode>
                <c:ptCount val="5"/>
                <c:pt idx="0">
                  <c:v>83</c:v>
                </c:pt>
                <c:pt idx="1">
                  <c:v>239</c:v>
                </c:pt>
                <c:pt idx="2">
                  <c:v>474</c:v>
                </c:pt>
                <c:pt idx="3">
                  <c:v>786</c:v>
                </c:pt>
                <c:pt idx="4">
                  <c:v>1177</c:v>
                </c:pt>
              </c:numCache>
            </c:numRef>
          </c:xVal>
          <c:yVal>
            <c:numRef>
              <c:f>Sheet2!$G$11:$G$14</c:f>
              <c:numCache>
                <c:formatCode>0</c:formatCode>
                <c:ptCount val="4"/>
                <c:pt idx="0">
                  <c:v>95.487349999999992</c:v>
                </c:pt>
                <c:pt idx="1">
                  <c:v>165.38800000000001</c:v>
                </c:pt>
                <c:pt idx="2">
                  <c:v>234.52571999999998</c:v>
                </c:pt>
                <c:pt idx="3">
                  <c:v>309.34994999999998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D0-4905-A233-91C1B73B3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939432"/>
        <c:axId val="443939760"/>
      </c:scatterChart>
      <c:valAx>
        <c:axId val="443939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</a:t>
                </a:r>
                <a:r>
                  <a:rPr lang="en-US" baseline="0"/>
                  <a:t> Frequency (Hz)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2295413073365828"/>
              <c:y val="0.92740489717266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939760"/>
        <c:crosses val="autoZero"/>
        <c:crossBetween val="midCat"/>
      </c:valAx>
      <c:valAx>
        <c:axId val="44393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Speed of Sound (m/s)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9129158855143108E-2"/>
              <c:y val="0.227699940733214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939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8</xdr:row>
      <xdr:rowOff>85725</xdr:rowOff>
    </xdr:from>
    <xdr:to>
      <xdr:col>18</xdr:col>
      <xdr:colOff>323850</xdr:colOff>
      <xdr:row>22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3C0C3A-94FF-4B41-9512-8BD8393AD0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10</xdr:row>
      <xdr:rowOff>142875</xdr:rowOff>
    </xdr:from>
    <xdr:to>
      <xdr:col>16</xdr:col>
      <xdr:colOff>571500</xdr:colOff>
      <xdr:row>26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EEFEBA-8ED2-4D48-A8AB-71ADEF7568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workbookViewId="0">
      <selection activeCell="K10" sqref="K10"/>
    </sheetView>
  </sheetViews>
  <sheetFormatPr defaultRowHeight="15" x14ac:dyDescent="0.25"/>
  <sheetData>
    <row r="1" spans="1:18" x14ac:dyDescent="0.25">
      <c r="B1" t="s">
        <v>0</v>
      </c>
      <c r="C1" t="s">
        <v>1</v>
      </c>
      <c r="G1" t="s">
        <v>2</v>
      </c>
    </row>
    <row r="2" spans="1:18" x14ac:dyDescent="0.25">
      <c r="G2" t="s">
        <v>12</v>
      </c>
      <c r="H2" t="s">
        <v>13</v>
      </c>
      <c r="M2" t="s">
        <v>14</v>
      </c>
      <c r="Q2" t="s">
        <v>40</v>
      </c>
    </row>
    <row r="3" spans="1:18" x14ac:dyDescent="0.25">
      <c r="A3" t="s">
        <v>29</v>
      </c>
      <c r="B3" t="s">
        <v>3</v>
      </c>
      <c r="C3">
        <v>1</v>
      </c>
      <c r="D3">
        <v>2</v>
      </c>
      <c r="E3">
        <v>3</v>
      </c>
      <c r="F3">
        <v>4</v>
      </c>
      <c r="G3" t="s">
        <v>10</v>
      </c>
      <c r="H3" t="s">
        <v>11</v>
      </c>
      <c r="M3" t="s">
        <v>15</v>
      </c>
      <c r="N3">
        <v>861</v>
      </c>
      <c r="Q3" t="s">
        <v>44</v>
      </c>
      <c r="R3">
        <v>1.4</v>
      </c>
    </row>
    <row r="4" spans="1:18" x14ac:dyDescent="0.25">
      <c r="A4">
        <v>11</v>
      </c>
      <c r="B4" t="s">
        <v>4</v>
      </c>
      <c r="C4">
        <v>1.085</v>
      </c>
      <c r="D4">
        <v>1.0649999999999999</v>
      </c>
      <c r="E4">
        <v>1.0840000000000001</v>
      </c>
      <c r="F4">
        <v>1.075</v>
      </c>
      <c r="G4" s="2">
        <f>AVERAGE(C4:F4)</f>
        <v>1.07725</v>
      </c>
      <c r="H4">
        <v>0.01</v>
      </c>
      <c r="M4" t="s">
        <v>16</v>
      </c>
      <c r="N4">
        <v>21.7</v>
      </c>
      <c r="Q4" t="s">
        <v>41</v>
      </c>
      <c r="R4">
        <f>1.013 * 10^5</f>
        <v>101299.99999999999</v>
      </c>
    </row>
    <row r="5" spans="1:18" x14ac:dyDescent="0.25">
      <c r="A5">
        <v>9</v>
      </c>
      <c r="B5" t="s">
        <v>5</v>
      </c>
      <c r="C5">
        <v>0.89500000000000002</v>
      </c>
      <c r="D5">
        <v>0.86</v>
      </c>
      <c r="E5">
        <v>0.877</v>
      </c>
      <c r="F5">
        <v>0.88</v>
      </c>
      <c r="G5" s="2">
        <f t="shared" ref="G5:G9" si="0">AVERAGE(C5:F5)</f>
        <v>0.87799999999999989</v>
      </c>
      <c r="H5">
        <v>0.01</v>
      </c>
      <c r="M5" t="s">
        <v>37</v>
      </c>
      <c r="N5">
        <v>4.9000000000000002E-2</v>
      </c>
      <c r="Q5" t="s">
        <v>42</v>
      </c>
      <c r="R5">
        <v>1.2250000000000001</v>
      </c>
    </row>
    <row r="6" spans="1:18" x14ac:dyDescent="0.25">
      <c r="A6">
        <v>7</v>
      </c>
      <c r="B6" t="s">
        <v>6</v>
      </c>
      <c r="C6">
        <v>0.67</v>
      </c>
      <c r="D6">
        <v>0.68</v>
      </c>
      <c r="E6">
        <v>0.68100000000000005</v>
      </c>
      <c r="F6">
        <v>0.68</v>
      </c>
      <c r="G6" s="2">
        <f t="shared" si="0"/>
        <v>0.67775000000000007</v>
      </c>
      <c r="H6">
        <v>0.01</v>
      </c>
    </row>
    <row r="7" spans="1:18" x14ac:dyDescent="0.25">
      <c r="A7">
        <v>5</v>
      </c>
      <c r="B7" t="s">
        <v>7</v>
      </c>
      <c r="C7">
        <v>0.47499999999999998</v>
      </c>
      <c r="D7">
        <v>0.48</v>
      </c>
      <c r="E7">
        <v>0.48</v>
      </c>
      <c r="F7">
        <v>0.48</v>
      </c>
      <c r="G7" s="2">
        <f t="shared" si="0"/>
        <v>0.47875000000000001</v>
      </c>
      <c r="H7">
        <v>0.01</v>
      </c>
    </row>
    <row r="8" spans="1:18" x14ac:dyDescent="0.25">
      <c r="A8">
        <v>3</v>
      </c>
      <c r="B8" t="s">
        <v>8</v>
      </c>
      <c r="C8">
        <v>0.27500000000000002</v>
      </c>
      <c r="D8">
        <v>0.28000000000000003</v>
      </c>
      <c r="E8">
        <v>0.28799999999999998</v>
      </c>
      <c r="F8">
        <v>0.28499999999999998</v>
      </c>
      <c r="G8" s="2">
        <f t="shared" si="0"/>
        <v>0.28199999999999997</v>
      </c>
      <c r="H8">
        <v>0.01</v>
      </c>
    </row>
    <row r="9" spans="1:18" x14ac:dyDescent="0.25">
      <c r="A9">
        <v>1</v>
      </c>
      <c r="B9" t="s">
        <v>9</v>
      </c>
      <c r="C9">
        <v>0.08</v>
      </c>
      <c r="D9">
        <v>8.5000000000000006E-2</v>
      </c>
      <c r="E9">
        <v>7.8E-2</v>
      </c>
      <c r="F9">
        <v>0.08</v>
      </c>
      <c r="G9" s="2">
        <f t="shared" si="0"/>
        <v>8.0750000000000002E-2</v>
      </c>
      <c r="H9">
        <v>0.01</v>
      </c>
    </row>
    <row r="10" spans="1:18" x14ac:dyDescent="0.25">
      <c r="G10" s="2"/>
    </row>
    <row r="11" spans="1:18" x14ac:dyDescent="0.25">
      <c r="B11" t="s">
        <v>30</v>
      </c>
      <c r="C11">
        <v>0.19900000000000001</v>
      </c>
      <c r="D11">
        <v>5.0000000000000001E-3</v>
      </c>
    </row>
    <row r="12" spans="1:18" x14ac:dyDescent="0.25">
      <c r="B12" t="s">
        <v>31</v>
      </c>
      <c r="C12">
        <f xml:space="preserve"> 2 *C11</f>
        <v>0.39800000000000002</v>
      </c>
      <c r="D12">
        <v>5.0000000000000001E-3</v>
      </c>
      <c r="G12" t="s">
        <v>33</v>
      </c>
    </row>
    <row r="13" spans="1:18" x14ac:dyDescent="0.25">
      <c r="G13" t="s">
        <v>34</v>
      </c>
      <c r="H13" t="s">
        <v>38</v>
      </c>
    </row>
    <row r="14" spans="1:18" x14ac:dyDescent="0.25">
      <c r="B14" t="s">
        <v>39</v>
      </c>
      <c r="G14">
        <v>1</v>
      </c>
      <c r="H14" s="1">
        <f>(A4*($C$12/4))-G4</f>
        <v>1.7249999999999988E-2</v>
      </c>
      <c r="I14">
        <v>5.0000000000000001E-3</v>
      </c>
    </row>
    <row r="15" spans="1:18" x14ac:dyDescent="0.25">
      <c r="B15" s="4">
        <f>C12 * N3</f>
        <v>342.678</v>
      </c>
      <c r="C15" s="4">
        <f>D12*N3</f>
        <v>4.3049999999999997</v>
      </c>
      <c r="G15">
        <v>2</v>
      </c>
      <c r="H15" s="1">
        <f t="shared" ref="H15:H19" si="1">(A5*($C$12/4))-G5</f>
        <v>1.7500000000000182E-2</v>
      </c>
      <c r="I15">
        <v>5.0000000000000001E-3</v>
      </c>
    </row>
    <row r="16" spans="1:18" x14ac:dyDescent="0.25">
      <c r="G16">
        <v>3</v>
      </c>
      <c r="H16" s="1">
        <f t="shared" si="1"/>
        <v>1.8749999999999933E-2</v>
      </c>
      <c r="I16">
        <v>5.0000000000000001E-3</v>
      </c>
    </row>
    <row r="17" spans="2:9" x14ac:dyDescent="0.25">
      <c r="B17" t="s">
        <v>32</v>
      </c>
      <c r="G17">
        <v>4</v>
      </c>
      <c r="H17" s="1">
        <f t="shared" si="1"/>
        <v>1.8750000000000044E-2</v>
      </c>
      <c r="I17">
        <v>5.0000000000000001E-3</v>
      </c>
    </row>
    <row r="18" spans="2:9" x14ac:dyDescent="0.25">
      <c r="B18" s="4">
        <f>B15*(293.15/(273.15 + $N$4))^0.5</f>
        <v>341.68869233997469</v>
      </c>
      <c r="C18" s="4">
        <f>C15*(293.15/(273.15 + $N$4))^0.5</f>
        <v>4.2925715118087266</v>
      </c>
      <c r="G18">
        <v>5</v>
      </c>
      <c r="H18" s="1">
        <f t="shared" si="1"/>
        <v>1.6500000000000015E-2</v>
      </c>
      <c r="I18">
        <v>5.0000000000000001E-3</v>
      </c>
    </row>
    <row r="19" spans="2:9" x14ac:dyDescent="0.25">
      <c r="B19" t="s">
        <v>45</v>
      </c>
      <c r="G19">
        <v>6</v>
      </c>
      <c r="H19" s="1">
        <f t="shared" si="1"/>
        <v>1.8750000000000003E-2</v>
      </c>
      <c r="I19">
        <v>5.0000000000000001E-3</v>
      </c>
    </row>
    <row r="20" spans="2:9" x14ac:dyDescent="0.25">
      <c r="B20">
        <v>343.4</v>
      </c>
      <c r="G20" t="s">
        <v>10</v>
      </c>
      <c r="H20" s="1">
        <f>AVERAGE(H14:H19)</f>
        <v>1.7916666666666695E-2</v>
      </c>
      <c r="I20">
        <v>5.0000000000000001E-3</v>
      </c>
    </row>
    <row r="21" spans="2:9" x14ac:dyDescent="0.25">
      <c r="B21" t="s">
        <v>43</v>
      </c>
    </row>
    <row r="22" spans="2:9" x14ac:dyDescent="0.25">
      <c r="B22" s="2">
        <f>($R$3*($R$4/$R$5))^0.5</f>
        <v>340.2520074465815</v>
      </c>
      <c r="G22" t="s">
        <v>35</v>
      </c>
      <c r="H22" s="3">
        <f>H20 * 100</f>
        <v>1.7916666666666696</v>
      </c>
      <c r="I22">
        <f>I20 * 100</f>
        <v>0.5</v>
      </c>
    </row>
    <row r="23" spans="2:9" x14ac:dyDescent="0.25">
      <c r="G23" t="s">
        <v>36</v>
      </c>
      <c r="H23" s="2">
        <f xml:space="preserve"> H20 / N5</f>
        <v>0.36564625850340193</v>
      </c>
      <c r="I23">
        <v>0.05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80CEC-2BC2-4EA9-AB48-5DA8E183AC25}">
  <dimension ref="A1:O15"/>
  <sheetViews>
    <sheetView tabSelected="1" workbookViewId="0">
      <selection activeCell="F21" sqref="F21"/>
    </sheetView>
  </sheetViews>
  <sheetFormatPr defaultRowHeight="15" x14ac:dyDescent="0.25"/>
  <cols>
    <col min="4" max="4" width="9.5703125" bestFit="1" customWidth="1"/>
    <col min="12" max="12" width="12" bestFit="1" customWidth="1"/>
  </cols>
  <sheetData>
    <row r="1" spans="1:15" x14ac:dyDescent="0.25">
      <c r="A1" t="s">
        <v>17</v>
      </c>
      <c r="B1" t="s">
        <v>18</v>
      </c>
      <c r="J1" t="s">
        <v>20</v>
      </c>
      <c r="K1" t="s">
        <v>19</v>
      </c>
      <c r="M1" t="s">
        <v>21</v>
      </c>
    </row>
    <row r="2" spans="1:15" x14ac:dyDescent="0.25">
      <c r="M2" t="s">
        <v>46</v>
      </c>
      <c r="N2">
        <v>0.86499999999999999</v>
      </c>
      <c r="O2">
        <v>5.0000000000000001E-3</v>
      </c>
    </row>
    <row r="3" spans="1:15" x14ac:dyDescent="0.25">
      <c r="A3" t="s">
        <v>50</v>
      </c>
      <c r="M3" t="s">
        <v>47</v>
      </c>
      <c r="N3">
        <v>6.3600000000000004E-2</v>
      </c>
      <c r="O3">
        <v>5.0000000000000002E-5</v>
      </c>
    </row>
    <row r="4" spans="1:15" x14ac:dyDescent="0.25">
      <c r="A4" t="s">
        <v>22</v>
      </c>
      <c r="B4" t="s">
        <v>23</v>
      </c>
      <c r="D4" t="s">
        <v>51</v>
      </c>
      <c r="F4" t="s">
        <v>52</v>
      </c>
      <c r="M4" t="s">
        <v>48</v>
      </c>
      <c r="N4">
        <v>1.2749999999999999E-2</v>
      </c>
      <c r="O4">
        <v>5.0000000000000002E-5</v>
      </c>
    </row>
    <row r="5" spans="1:15" x14ac:dyDescent="0.25">
      <c r="A5">
        <v>1</v>
      </c>
      <c r="B5">
        <v>2940</v>
      </c>
      <c r="C5">
        <v>3</v>
      </c>
      <c r="D5">
        <f>(2*$N$2) / A5</f>
        <v>1.73</v>
      </c>
      <c r="E5">
        <f>(2*$O$2) / A5</f>
        <v>0.01</v>
      </c>
      <c r="F5" s="4">
        <f>D5*B5</f>
        <v>5086.2</v>
      </c>
      <c r="G5" s="4">
        <f>(D5*C5) + (B5*E5)</f>
        <v>34.590000000000003</v>
      </c>
    </row>
    <row r="6" spans="1:15" x14ac:dyDescent="0.25">
      <c r="A6">
        <v>2</v>
      </c>
      <c r="B6">
        <v>5859</v>
      </c>
      <c r="C6">
        <v>3</v>
      </c>
      <c r="D6">
        <f t="shared" ref="D6:D7" si="0">(2*$N$2) / A6</f>
        <v>0.86499999999999999</v>
      </c>
      <c r="E6">
        <f>(2*$O$2) / A6</f>
        <v>5.0000000000000001E-3</v>
      </c>
      <c r="F6" s="4">
        <f t="shared" ref="F6:F7" si="1">D6*B6</f>
        <v>5068.0349999999999</v>
      </c>
      <c r="G6" s="4">
        <f t="shared" ref="G6:G7" si="2">(D6*C6) + (B6*E6)</f>
        <v>31.89</v>
      </c>
      <c r="K6" t="s">
        <v>25</v>
      </c>
      <c r="O6" t="s">
        <v>53</v>
      </c>
    </row>
    <row r="7" spans="1:15" x14ac:dyDescent="0.25">
      <c r="A7">
        <v>3</v>
      </c>
      <c r="B7">
        <v>8819</v>
      </c>
      <c r="C7">
        <v>3</v>
      </c>
      <c r="D7" s="1">
        <f t="shared" si="0"/>
        <v>0.57666666666666666</v>
      </c>
      <c r="E7" s="1">
        <f>(2*$O$2) / A7</f>
        <v>3.3333333333333335E-3</v>
      </c>
      <c r="F7" s="4">
        <f t="shared" si="1"/>
        <v>5085.623333333333</v>
      </c>
      <c r="G7" s="4">
        <f t="shared" si="2"/>
        <v>31.126666666666669</v>
      </c>
      <c r="K7" t="s">
        <v>26</v>
      </c>
      <c r="L7">
        <v>2700</v>
      </c>
      <c r="O7" s="4">
        <f>(L8 / L7)^0.5</f>
        <v>5051.5857429641355</v>
      </c>
    </row>
    <row r="8" spans="1:15" x14ac:dyDescent="0.25">
      <c r="E8" t="s">
        <v>10</v>
      </c>
      <c r="F8" s="4">
        <f>AVERAGE(F5:F7)</f>
        <v>5079.9527777777776</v>
      </c>
      <c r="G8" s="4">
        <f>MROUND(MAX(G5:G7), 10)</f>
        <v>30</v>
      </c>
      <c r="K8" t="s">
        <v>27</v>
      </c>
      <c r="L8" s="5">
        <f>68.9 * 10^9</f>
        <v>68900000000</v>
      </c>
      <c r="O8" t="s">
        <v>54</v>
      </c>
    </row>
    <row r="9" spans="1:15" x14ac:dyDescent="0.25">
      <c r="A9" t="s">
        <v>24</v>
      </c>
      <c r="K9" t="s">
        <v>28</v>
      </c>
      <c r="L9">
        <v>0.33</v>
      </c>
      <c r="O9" s="4">
        <f>(L10 / L7)^0.5</f>
        <v>5001.8152115319363</v>
      </c>
    </row>
    <row r="10" spans="1:15" x14ac:dyDescent="0.25">
      <c r="A10" t="s">
        <v>22</v>
      </c>
      <c r="B10" t="s">
        <v>23</v>
      </c>
      <c r="D10" t="s">
        <v>55</v>
      </c>
      <c r="F10" t="s">
        <v>56</v>
      </c>
      <c r="G10" t="s">
        <v>52</v>
      </c>
      <c r="K10" t="s">
        <v>49</v>
      </c>
      <c r="L10" s="5">
        <f>L8 / (3 - (6*L9))</f>
        <v>67549019607.84314</v>
      </c>
    </row>
    <row r="11" spans="1:15" x14ac:dyDescent="0.25">
      <c r="A11">
        <v>1</v>
      </c>
      <c r="B11">
        <v>83</v>
      </c>
      <c r="C11">
        <v>3</v>
      </c>
      <c r="D11" s="3">
        <f>((0.113 * $N$4)/ ($N$2)^2) * $O$7 * ((2*A11) + 1)^2</f>
        <v>87.544053503398317</v>
      </c>
      <c r="F11">
        <f>1.33 * $N$2</f>
        <v>1.15045</v>
      </c>
      <c r="G11" s="4">
        <f>B11*F11</f>
        <v>95.487349999999992</v>
      </c>
      <c r="H11" s="4">
        <f>C11 *F11</f>
        <v>3.4513499999999997</v>
      </c>
    </row>
    <row r="12" spans="1:15" x14ac:dyDescent="0.25">
      <c r="A12">
        <v>2</v>
      </c>
      <c r="B12">
        <v>239</v>
      </c>
      <c r="C12">
        <v>3</v>
      </c>
      <c r="D12" s="3">
        <f t="shared" ref="D12:D15" si="3">((0.113 * $N$4)/ ($N$2)^2) * $O$7 * ((2*A12) + 1)^2</f>
        <v>243.17792639832865</v>
      </c>
      <c r="F12">
        <f>0.8 * $N$2</f>
        <v>0.69200000000000006</v>
      </c>
      <c r="G12" s="4">
        <f t="shared" ref="G12:G14" si="4">B12*F12</f>
        <v>165.38800000000001</v>
      </c>
      <c r="H12" s="4">
        <f t="shared" ref="H12:H14" si="5">C12 *F12</f>
        <v>2.0760000000000001</v>
      </c>
    </row>
    <row r="13" spans="1:15" x14ac:dyDescent="0.25">
      <c r="A13">
        <v>3</v>
      </c>
      <c r="B13">
        <v>474</v>
      </c>
      <c r="C13">
        <v>3</v>
      </c>
      <c r="D13" s="3">
        <f t="shared" si="3"/>
        <v>476.62873574072415</v>
      </c>
      <c r="F13">
        <f>0.572 * $N$2</f>
        <v>0.49477999999999994</v>
      </c>
      <c r="G13" s="4">
        <f t="shared" si="4"/>
        <v>234.52571999999998</v>
      </c>
      <c r="H13" s="4">
        <f t="shared" si="5"/>
        <v>1.4843399999999998</v>
      </c>
    </row>
    <row r="14" spans="1:15" x14ac:dyDescent="0.25">
      <c r="A14">
        <v>4</v>
      </c>
      <c r="B14">
        <v>786</v>
      </c>
      <c r="C14">
        <v>3</v>
      </c>
      <c r="D14" s="3">
        <f t="shared" si="3"/>
        <v>787.89648153058477</v>
      </c>
      <c r="F14">
        <f>0.455 * $N$2</f>
        <v>0.39357500000000001</v>
      </c>
      <c r="G14" s="4">
        <f t="shared" si="4"/>
        <v>309.34994999999998</v>
      </c>
      <c r="H14" s="4">
        <f t="shared" si="5"/>
        <v>1.180725</v>
      </c>
    </row>
    <row r="15" spans="1:15" x14ac:dyDescent="0.25">
      <c r="A15">
        <v>5</v>
      </c>
      <c r="B15">
        <v>1177</v>
      </c>
      <c r="C15">
        <v>3</v>
      </c>
      <c r="D15" s="3">
        <f t="shared" si="3"/>
        <v>1176.9811637679106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2018-02-07T00:02:55Z</dcterms:modified>
</cp:coreProperties>
</file>