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Free Oscillator" sheetId="2" r:id="rId1"/>
    <sheet name="Driven Oscillator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F10" i="2"/>
  <c r="G10" i="2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G4" i="2"/>
  <c r="C4" i="2"/>
  <c r="N30" i="1" l="1"/>
  <c r="M30" i="1"/>
  <c r="L30" i="1"/>
  <c r="E21" i="1" l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20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B22" i="1"/>
  <c r="B23" i="1"/>
  <c r="B24" i="1"/>
  <c r="B25" i="1"/>
  <c r="B26" i="1"/>
  <c r="B27" i="1"/>
  <c r="B28" i="1"/>
  <c r="B29" i="1"/>
  <c r="B30" i="1"/>
  <c r="B31" i="1"/>
  <c r="B32" i="1"/>
  <c r="B33" i="1"/>
  <c r="B21" i="1"/>
  <c r="B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P16" i="1"/>
  <c r="P15" i="1"/>
  <c r="M15" i="1"/>
  <c r="O1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O3" i="1"/>
  <c r="O5" i="1"/>
  <c r="M5" i="1"/>
  <c r="O4" i="1"/>
  <c r="O6" i="1"/>
  <c r="O7" i="1"/>
  <c r="O8" i="1"/>
  <c r="O9" i="1"/>
  <c r="O10" i="1"/>
  <c r="O11" i="1"/>
  <c r="O12" i="1"/>
  <c r="O13" i="1"/>
  <c r="O14" i="1"/>
  <c r="O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M4" i="1"/>
  <c r="M6" i="1"/>
  <c r="M7" i="1"/>
  <c r="M8" i="1"/>
  <c r="M9" i="1"/>
  <c r="M10" i="1"/>
  <c r="M11" i="1"/>
  <c r="M12" i="1"/>
  <c r="M13" i="1"/>
  <c r="M14" i="1"/>
  <c r="M16" i="1"/>
  <c r="M3" i="1"/>
  <c r="J9" i="1"/>
  <c r="H9" i="1"/>
  <c r="J3" i="1"/>
  <c r="F4" i="2"/>
  <c r="E4" i="2"/>
  <c r="D4" i="2"/>
  <c r="C6" i="2"/>
  <c r="I16" i="1"/>
  <c r="E16" i="1"/>
  <c r="C16" i="1"/>
  <c r="I15" i="1"/>
  <c r="E15" i="1"/>
  <c r="C15" i="1"/>
  <c r="I14" i="1"/>
  <c r="E14" i="1"/>
  <c r="C14" i="1"/>
  <c r="K13" i="1"/>
  <c r="I13" i="1"/>
  <c r="E13" i="1"/>
  <c r="C13" i="1"/>
  <c r="I12" i="1"/>
  <c r="E12" i="1"/>
  <c r="C12" i="1"/>
  <c r="K11" i="1"/>
  <c r="I11" i="1"/>
  <c r="E11" i="1"/>
  <c r="C11" i="1"/>
  <c r="K10" i="1"/>
  <c r="I10" i="1"/>
  <c r="E10" i="1"/>
  <c r="C10" i="1"/>
  <c r="K9" i="1"/>
  <c r="I9" i="1"/>
  <c r="E9" i="1"/>
  <c r="I8" i="1"/>
  <c r="I6" i="1"/>
  <c r="E8" i="1"/>
  <c r="I7" i="1"/>
  <c r="E7" i="1"/>
  <c r="K6" i="1"/>
  <c r="E6" i="1"/>
  <c r="I5" i="1"/>
  <c r="E5" i="1"/>
  <c r="I4" i="1"/>
  <c r="E4" i="1"/>
  <c r="C4" i="1"/>
  <c r="C5" i="1"/>
  <c r="C6" i="1"/>
  <c r="C7" i="1"/>
  <c r="C8" i="1"/>
  <c r="C9" i="1"/>
  <c r="I3" i="1"/>
  <c r="E3" i="1"/>
  <c r="C3" i="1"/>
</calcChain>
</file>

<file path=xl/sharedStrings.xml><?xml version="1.0" encoding="utf-8"?>
<sst xmlns="http://schemas.openxmlformats.org/spreadsheetml/2006/main" count="29" uniqueCount="26">
  <si>
    <t>freq (Hz)</t>
  </si>
  <si>
    <t>freq (rad)</t>
  </si>
  <si>
    <t>Amp of Light (%)</t>
  </si>
  <si>
    <t>Amp of Voltage (V)</t>
  </si>
  <si>
    <t>Phase light (rad)</t>
  </si>
  <si>
    <t>Phase Voltage (rad)</t>
  </si>
  <si>
    <t>Resonance</t>
  </si>
  <si>
    <t>Cantilever # 13</t>
  </si>
  <si>
    <t>Resonance freq (Rad)</t>
  </si>
  <si>
    <t>Gamma/2 (Hz)</t>
  </si>
  <si>
    <t>Gamma (Hz)</t>
  </si>
  <si>
    <t>Q</t>
  </si>
  <si>
    <t>Adj Ph V</t>
  </si>
  <si>
    <t>Adj Ph L</t>
  </si>
  <si>
    <t>Ph diff</t>
  </si>
  <si>
    <t>Adj Ph Diff</t>
  </si>
  <si>
    <t>Amplitude Ratio (L/V)</t>
  </si>
  <si>
    <t>Frequency (Rad)</t>
  </si>
  <si>
    <t>Phase Difference (Rad)</t>
  </si>
  <si>
    <t>Fit Parameters</t>
  </si>
  <si>
    <t>A(w)</t>
  </si>
  <si>
    <t>a</t>
  </si>
  <si>
    <t>b</t>
  </si>
  <si>
    <t>c</t>
  </si>
  <si>
    <t>Resonance Freq (Rad)</t>
  </si>
  <si>
    <t>Fitted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</si>
</sst>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4B16-A724-48DA-AABE-C0E186181E53}">
  <dimension ref="A1:G10"/>
  <sheetViews>
    <sheetView tabSelected="1" workbookViewId="0">
      <selection activeCell="K9" sqref="K9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7</v>
      </c>
    </row>
    <row r="3" spans="1:7" x14ac:dyDescent="0.25">
      <c r="B3" s="5" t="s">
        <v>8</v>
      </c>
      <c r="C3" s="5"/>
      <c r="D3" s="5" t="s">
        <v>10</v>
      </c>
      <c r="E3" s="5"/>
      <c r="F3" s="5" t="s">
        <v>11</v>
      </c>
    </row>
    <row r="4" spans="1:7" x14ac:dyDescent="0.25">
      <c r="B4">
        <v>77.599999999999994</v>
      </c>
      <c r="C4" s="1">
        <f>3.3*10^-4</f>
        <v>3.3E-4</v>
      </c>
      <c r="D4">
        <f>2*B6</f>
        <v>0.436</v>
      </c>
      <c r="E4" s="1">
        <f>2*C6</f>
        <v>6.6E-4</v>
      </c>
      <c r="F4" s="4">
        <f>B4/D4</f>
        <v>177.98165137614677</v>
      </c>
      <c r="G4" s="2">
        <f>F4*((C4/B4)^2+(E4/D4)^2)^0.5</f>
        <v>0.26942282898685815</v>
      </c>
    </row>
    <row r="5" spans="1:7" x14ac:dyDescent="0.25">
      <c r="B5" t="s">
        <v>9</v>
      </c>
    </row>
    <row r="6" spans="1:7" x14ac:dyDescent="0.25">
      <c r="B6">
        <v>0.218</v>
      </c>
      <c r="C6" s="1">
        <f>3.3*10^-4</f>
        <v>3.3E-4</v>
      </c>
    </row>
    <row r="9" spans="1:7" x14ac:dyDescent="0.25">
      <c r="C9" s="1"/>
      <c r="E9" s="1"/>
      <c r="F9" s="4"/>
      <c r="G9" s="2"/>
    </row>
    <row r="10" spans="1:7" x14ac:dyDescent="0.25">
      <c r="B10">
        <v>77.658000000000001</v>
      </c>
      <c r="C10" s="1">
        <f>0.005</f>
        <v>5.0000000000000001E-3</v>
      </c>
      <c r="D10">
        <v>0.41399999999999998</v>
      </c>
      <c r="E10" s="1">
        <v>4.0000000000000001E-3</v>
      </c>
      <c r="F10" s="4">
        <f>B10/D10</f>
        <v>187.57971014492756</v>
      </c>
      <c r="G10" s="2">
        <f>F10*((C10/B10)^2+(E10/D10)^2)^0.5</f>
        <v>1.8124045893214893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topLeftCell="A13" workbookViewId="0">
      <selection activeCell="K31" sqref="K31"/>
    </sheetView>
  </sheetViews>
  <sheetFormatPr defaultRowHeight="15" x14ac:dyDescent="0.25"/>
  <cols>
    <col min="5" max="5" width="10" bestFit="1" customWidth="1"/>
    <col min="9" max="9" width="9.7109375" bestFit="1" customWidth="1"/>
    <col min="18" max="18" width="9.5703125" bestFit="1" customWidth="1"/>
  </cols>
  <sheetData>
    <row r="2" spans="1:19" x14ac:dyDescent="0.25">
      <c r="B2" t="s">
        <v>0</v>
      </c>
      <c r="C2" t="s">
        <v>1</v>
      </c>
      <c r="D2" t="s">
        <v>3</v>
      </c>
      <c r="F2" t="s">
        <v>2</v>
      </c>
      <c r="H2" t="s">
        <v>5</v>
      </c>
      <c r="J2" t="s">
        <v>4</v>
      </c>
      <c r="M2" t="s">
        <v>12</v>
      </c>
      <c r="N2" t="s">
        <v>13</v>
      </c>
      <c r="O2" t="s">
        <v>14</v>
      </c>
      <c r="P2" s="5" t="s">
        <v>15</v>
      </c>
      <c r="R2" s="5" t="s">
        <v>16</v>
      </c>
    </row>
    <row r="3" spans="1:19" x14ac:dyDescent="0.25">
      <c r="B3">
        <v>1</v>
      </c>
      <c r="C3" s="3">
        <f>B3 * 2 * PI()</f>
        <v>6.2831853071795862</v>
      </c>
      <c r="D3">
        <v>0.85399999999999998</v>
      </c>
      <c r="E3">
        <f>9 * 10^(-6)</f>
        <v>9.0000000000000002E-6</v>
      </c>
      <c r="F3">
        <v>0.58699999999999997</v>
      </c>
      <c r="G3">
        <v>1.1999999999999999E-3</v>
      </c>
      <c r="H3">
        <v>4.57</v>
      </c>
      <c r="I3">
        <f>2.2 * 10^(-5)</f>
        <v>2.2000000000000003E-5</v>
      </c>
      <c r="J3">
        <f>4.55 +  PI()</f>
        <v>7.6915926535897929</v>
      </c>
      <c r="K3">
        <v>4.1000000000000003E-3</v>
      </c>
      <c r="M3">
        <f>MOD(H3, 2*PI())</f>
        <v>4.57</v>
      </c>
      <c r="N3">
        <f>MOD(J3, 2*PI())</f>
        <v>1.4084073464102067</v>
      </c>
      <c r="O3">
        <f>M3-N3</f>
        <v>3.1615926535897936</v>
      </c>
      <c r="P3" s="2">
        <f>MOD(O3, PI())</f>
        <v>2.0000000000000462E-2</v>
      </c>
      <c r="Q3" s="2">
        <f>I3+K3</f>
        <v>4.1220000000000007E-3</v>
      </c>
      <c r="R3" s="2">
        <f>F3/D3</f>
        <v>0.68735362997658078</v>
      </c>
      <c r="S3" s="2">
        <f>R3*((E3/D3)^2+(G3/F3)^2)^0.5</f>
        <v>1.4051708960781484E-3</v>
      </c>
    </row>
    <row r="4" spans="1:19" x14ac:dyDescent="0.25">
      <c r="B4">
        <v>4</v>
      </c>
      <c r="C4" s="3">
        <f t="shared" ref="C4:C16" si="0">B4 * 2 * PI()</f>
        <v>25.132741228718345</v>
      </c>
      <c r="D4">
        <v>0.85399999999999998</v>
      </c>
      <c r="E4">
        <f>1.5 * 10^(-5)</f>
        <v>1.5000000000000002E-5</v>
      </c>
      <c r="F4">
        <v>0.65400000000000003</v>
      </c>
      <c r="G4">
        <v>1.6000000000000001E-3</v>
      </c>
      <c r="H4">
        <v>4.3600000000000003</v>
      </c>
      <c r="I4">
        <f>3.5 * 10^(-5)</f>
        <v>3.5000000000000004E-5</v>
      </c>
      <c r="J4">
        <v>1.2</v>
      </c>
      <c r="K4">
        <v>5.0000000000000001E-3</v>
      </c>
      <c r="M4">
        <f t="shared" ref="M4:M16" si="1">MOD(H4, 2*PI())</f>
        <v>4.3600000000000003</v>
      </c>
      <c r="N4">
        <f t="shared" ref="N4:N16" si="2">MOD(J4, 2*PI())</f>
        <v>1.2</v>
      </c>
      <c r="O4">
        <f t="shared" ref="O4:O16" si="3">M4-N4</f>
        <v>3.16</v>
      </c>
      <c r="P4" s="2">
        <f t="shared" ref="P4:P14" si="4">MOD(O4, PI())</f>
        <v>1.8407346410207026E-2</v>
      </c>
      <c r="Q4" s="2">
        <f t="shared" ref="Q4:Q16" si="5">I4+K4</f>
        <v>5.0350000000000004E-3</v>
      </c>
      <c r="R4" s="2">
        <f t="shared" ref="R4:R16" si="6">F4/D4</f>
        <v>0.76580796252927408</v>
      </c>
      <c r="S4" s="2">
        <f t="shared" ref="S4:S16" si="7">R4*((E4/D4)^2+(G4/F4)^2)^0.5</f>
        <v>1.8735845843869477E-3</v>
      </c>
    </row>
    <row r="5" spans="1:19" x14ac:dyDescent="0.25">
      <c r="B5">
        <v>8</v>
      </c>
      <c r="C5" s="3">
        <f t="shared" si="0"/>
        <v>50.26548245743669</v>
      </c>
      <c r="D5">
        <v>0.85399999999999998</v>
      </c>
      <c r="E5">
        <f>1.5 * 10^(-5)</f>
        <v>1.5000000000000002E-5</v>
      </c>
      <c r="F5">
        <v>1.04</v>
      </c>
      <c r="G5">
        <v>1.1000000000000001E-3</v>
      </c>
      <c r="H5">
        <v>1.67</v>
      </c>
      <c r="I5">
        <f>3.5 * 10^(-5)</f>
        <v>3.5000000000000004E-5</v>
      </c>
      <c r="J5">
        <v>4.78</v>
      </c>
      <c r="K5">
        <v>2.0999999999999999E-3</v>
      </c>
      <c r="M5">
        <f>MOD(H5, 2*PI())</f>
        <v>1.67</v>
      </c>
      <c r="N5">
        <f t="shared" si="2"/>
        <v>4.78</v>
      </c>
      <c r="O5">
        <f>M5-N5</f>
        <v>-3.1100000000000003</v>
      </c>
      <c r="P5" s="2">
        <f t="shared" si="4"/>
        <v>3.1592653589792796E-2</v>
      </c>
      <c r="Q5" s="2">
        <f t="shared" si="5"/>
        <v>2.1349999999999997E-3</v>
      </c>
      <c r="R5" s="2">
        <f t="shared" si="6"/>
        <v>1.2177985948477752</v>
      </c>
      <c r="S5" s="2">
        <f t="shared" si="7"/>
        <v>1.2882337979120563E-3</v>
      </c>
    </row>
    <row r="6" spans="1:19" x14ac:dyDescent="0.25">
      <c r="B6">
        <v>11</v>
      </c>
      <c r="C6" s="3">
        <f t="shared" si="0"/>
        <v>69.115038378975441</v>
      </c>
      <c r="D6">
        <v>0.85399999999999998</v>
      </c>
      <c r="E6">
        <f>8 * 10^(-6)</f>
        <v>7.9999999999999996E-6</v>
      </c>
      <c r="F6">
        <v>3.23</v>
      </c>
      <c r="G6">
        <v>1.4E-3</v>
      </c>
      <c r="H6">
        <v>-0.12</v>
      </c>
      <c r="I6">
        <f>1.9 * 10^(-5)</f>
        <v>1.9000000000000001E-5</v>
      </c>
      <c r="J6">
        <v>2.97</v>
      </c>
      <c r="K6">
        <f>8.8 * 10^(-4)</f>
        <v>8.8000000000000014E-4</v>
      </c>
      <c r="M6">
        <f t="shared" si="1"/>
        <v>6.1631853071795861</v>
      </c>
      <c r="N6">
        <f t="shared" si="2"/>
        <v>2.97</v>
      </c>
      <c r="O6">
        <f t="shared" si="3"/>
        <v>3.1931853071795859</v>
      </c>
      <c r="P6" s="2">
        <f t="shared" si="4"/>
        <v>5.1592653589792814E-2</v>
      </c>
      <c r="Q6" s="2">
        <f t="shared" si="5"/>
        <v>8.9900000000000017E-4</v>
      </c>
      <c r="R6" s="1">
        <f t="shared" si="6"/>
        <v>3.7822014051522248</v>
      </c>
      <c r="S6" s="2">
        <f t="shared" si="7"/>
        <v>1.6397270893910847E-3</v>
      </c>
    </row>
    <row r="7" spans="1:19" x14ac:dyDescent="0.25">
      <c r="B7">
        <v>11.3</v>
      </c>
      <c r="C7" s="3">
        <f t="shared" si="0"/>
        <v>70.999993971129328</v>
      </c>
      <c r="D7">
        <v>0.85399999999999998</v>
      </c>
      <c r="E7">
        <f>1.2*10^(-5)</f>
        <v>1.2E-5</v>
      </c>
      <c r="F7">
        <v>4.17</v>
      </c>
      <c r="G7">
        <v>2.3999999999999998E-3</v>
      </c>
      <c r="H7">
        <v>0.88600000000000001</v>
      </c>
      <c r="I7">
        <f>2.9*10^(-5)</f>
        <v>2.9E-5</v>
      </c>
      <c r="J7">
        <v>3.97</v>
      </c>
      <c r="K7">
        <v>1.1999999999999999E-3</v>
      </c>
      <c r="M7">
        <f t="shared" si="1"/>
        <v>0.88600000000000001</v>
      </c>
      <c r="N7">
        <f t="shared" si="2"/>
        <v>3.97</v>
      </c>
      <c r="O7">
        <f t="shared" si="3"/>
        <v>-3.0840000000000001</v>
      </c>
      <c r="P7" s="2">
        <f t="shared" si="4"/>
        <v>5.7592653589793041E-2</v>
      </c>
      <c r="Q7" s="2">
        <f t="shared" si="5"/>
        <v>1.2289999999999998E-3</v>
      </c>
      <c r="R7" s="1">
        <f t="shared" si="6"/>
        <v>4.8829039812646373</v>
      </c>
      <c r="S7" s="2">
        <f t="shared" si="7"/>
        <v>2.8111418922494909E-3</v>
      </c>
    </row>
    <row r="8" spans="1:19" x14ac:dyDescent="0.25">
      <c r="B8">
        <v>11.6</v>
      </c>
      <c r="C8" s="3">
        <f t="shared" si="0"/>
        <v>72.8849495632832</v>
      </c>
      <c r="D8">
        <v>0.85399999999999998</v>
      </c>
      <c r="E8">
        <f>1.5 * 10^(-5)</f>
        <v>1.5000000000000002E-5</v>
      </c>
      <c r="F8">
        <v>5.77</v>
      </c>
      <c r="G8">
        <v>3.0000000000000001E-3</v>
      </c>
      <c r="H8">
        <v>-0.55800000000000005</v>
      </c>
      <c r="I8">
        <f>3.4*10^(-5)</f>
        <v>3.4E-5</v>
      </c>
      <c r="J8">
        <v>2.52</v>
      </c>
      <c r="K8">
        <v>1E-3</v>
      </c>
      <c r="M8">
        <f t="shared" si="1"/>
        <v>5.7251853071795864</v>
      </c>
      <c r="N8">
        <f t="shared" si="2"/>
        <v>2.52</v>
      </c>
      <c r="O8">
        <f t="shared" si="3"/>
        <v>3.2051853071795864</v>
      </c>
      <c r="P8" s="2">
        <f t="shared" si="4"/>
        <v>6.3592653589793269E-2</v>
      </c>
      <c r="Q8" s="2">
        <f t="shared" si="5"/>
        <v>1.034E-3</v>
      </c>
      <c r="R8" s="1">
        <f t="shared" si="6"/>
        <v>6.7564402810304447</v>
      </c>
      <c r="S8" s="2">
        <f t="shared" si="7"/>
        <v>3.5148845053487618E-3</v>
      </c>
    </row>
    <row r="9" spans="1:19" x14ac:dyDescent="0.25">
      <c r="B9">
        <v>11.9</v>
      </c>
      <c r="C9" s="3">
        <f t="shared" si="0"/>
        <v>74.769905155437073</v>
      </c>
      <c r="D9">
        <v>0.42499999999999999</v>
      </c>
      <c r="E9">
        <f>5.2 *10^(-6)</f>
        <v>5.2000000000000002E-6</v>
      </c>
      <c r="F9">
        <v>4.6399999999999997</v>
      </c>
      <c r="G9">
        <v>2.2000000000000001E-3</v>
      </c>
      <c r="H9">
        <f xml:space="preserve"> 1.07 + PI()</f>
        <v>4.2115926535897934</v>
      </c>
      <c r="I9">
        <f>2.4*10^(-5)</f>
        <v>2.4000000000000001E-5</v>
      </c>
      <c r="J9">
        <f xml:space="preserve"> -2.16 + PI()</f>
        <v>0.98159265358979297</v>
      </c>
      <c r="K9">
        <f>9.3 * 10^(-4)</f>
        <v>9.3000000000000016E-4</v>
      </c>
      <c r="M9">
        <f t="shared" si="1"/>
        <v>4.2115926535897934</v>
      </c>
      <c r="N9">
        <f t="shared" si="2"/>
        <v>0.98159265358979297</v>
      </c>
      <c r="O9">
        <f t="shared" si="3"/>
        <v>3.2300000000000004</v>
      </c>
      <c r="P9" s="2">
        <f t="shared" si="4"/>
        <v>8.840734641020731E-2</v>
      </c>
      <c r="Q9" s="2">
        <f t="shared" si="5"/>
        <v>9.540000000000002E-4</v>
      </c>
      <c r="R9" s="1">
        <f t="shared" si="6"/>
        <v>10.91764705882353</v>
      </c>
      <c r="S9" s="2">
        <f t="shared" si="7"/>
        <v>5.1781938485984357E-3</v>
      </c>
    </row>
    <row r="10" spans="1:19" x14ac:dyDescent="0.25">
      <c r="B10">
        <v>12.15</v>
      </c>
      <c r="C10" s="3">
        <f t="shared" si="0"/>
        <v>76.340701482231978</v>
      </c>
      <c r="D10">
        <v>0.42399999999999999</v>
      </c>
      <c r="E10">
        <f>8.2*10^(-6)</f>
        <v>8.1999999999999994E-6</v>
      </c>
      <c r="F10">
        <v>10.199999999999999</v>
      </c>
      <c r="G10">
        <v>4.7999999999999996E-3</v>
      </c>
      <c r="H10">
        <v>-1.25</v>
      </c>
      <c r="I10">
        <f>3.8*(10^-5)</f>
        <v>3.8000000000000002E-5</v>
      </c>
      <c r="J10">
        <v>1.72</v>
      </c>
      <c r="K10">
        <f>9.3*10^-4</f>
        <v>9.3000000000000016E-4</v>
      </c>
      <c r="M10">
        <f t="shared" si="1"/>
        <v>5.0331853071795862</v>
      </c>
      <c r="N10">
        <f t="shared" si="2"/>
        <v>1.72</v>
      </c>
      <c r="O10">
        <f t="shared" si="3"/>
        <v>3.3131853071795865</v>
      </c>
      <c r="P10" s="2">
        <f t="shared" si="4"/>
        <v>0.17159265358979336</v>
      </c>
      <c r="Q10" s="2">
        <f t="shared" si="5"/>
        <v>9.6800000000000011E-4</v>
      </c>
      <c r="R10" s="1">
        <f t="shared" si="6"/>
        <v>24.056603773584904</v>
      </c>
      <c r="S10" s="2">
        <f t="shared" si="7"/>
        <v>1.1330310713598073E-2</v>
      </c>
    </row>
    <row r="11" spans="1:19" x14ac:dyDescent="0.25">
      <c r="B11">
        <v>12.2</v>
      </c>
      <c r="C11" s="3">
        <f t="shared" si="0"/>
        <v>76.654860747590945</v>
      </c>
      <c r="D11">
        <v>0.42299999999999999</v>
      </c>
      <c r="E11">
        <f>9.2*10^-6</f>
        <v>9.1999999999999983E-6</v>
      </c>
      <c r="F11">
        <v>13.5</v>
      </c>
      <c r="G11">
        <v>3.7000000000000002E-3</v>
      </c>
      <c r="H11">
        <v>6.6000000000000003E-2</v>
      </c>
      <c r="I11">
        <f>4.3*10^-5</f>
        <v>4.3000000000000002E-5</v>
      </c>
      <c r="J11">
        <v>2.96</v>
      </c>
      <c r="K11">
        <f>5.5*10^-4</f>
        <v>5.5000000000000003E-4</v>
      </c>
      <c r="M11">
        <f t="shared" si="1"/>
        <v>6.6000000000000003E-2</v>
      </c>
      <c r="N11">
        <f t="shared" si="2"/>
        <v>2.96</v>
      </c>
      <c r="O11">
        <f t="shared" si="3"/>
        <v>-2.8940000000000001</v>
      </c>
      <c r="P11" s="2">
        <f t="shared" si="4"/>
        <v>0.24759265358979299</v>
      </c>
      <c r="Q11" s="2">
        <f t="shared" si="5"/>
        <v>5.9299999999999999E-4</v>
      </c>
      <c r="R11" s="1">
        <f t="shared" si="6"/>
        <v>31.914893617021278</v>
      </c>
      <c r="S11" s="2">
        <f t="shared" si="7"/>
        <v>8.7745433695475775E-3</v>
      </c>
    </row>
    <row r="12" spans="1:19" x14ac:dyDescent="0.25">
      <c r="A12" t="s">
        <v>6</v>
      </c>
      <c r="B12">
        <v>12.37</v>
      </c>
      <c r="C12" s="3">
        <f t="shared" si="0"/>
        <v>77.723002249811472</v>
      </c>
      <c r="D12">
        <v>1.7299999999999999E-2</v>
      </c>
      <c r="E12">
        <f>7.7*10^-6</f>
        <v>7.6999999999999991E-6</v>
      </c>
      <c r="F12">
        <v>2.58</v>
      </c>
      <c r="G12">
        <v>2.8999999999999998E-3</v>
      </c>
      <c r="H12">
        <v>2.72</v>
      </c>
      <c r="I12">
        <f>8.8*10^-4</f>
        <v>8.8000000000000014E-4</v>
      </c>
      <c r="J12">
        <v>4.3099999999999996</v>
      </c>
      <c r="K12">
        <v>2.2000000000000001E-3</v>
      </c>
      <c r="M12">
        <f t="shared" si="1"/>
        <v>2.72</v>
      </c>
      <c r="N12">
        <f t="shared" si="2"/>
        <v>4.3099999999999996</v>
      </c>
      <c r="O12">
        <f t="shared" si="3"/>
        <v>-1.5899999999999994</v>
      </c>
      <c r="P12" s="2">
        <f t="shared" si="4"/>
        <v>1.5515926535897937</v>
      </c>
      <c r="Q12" s="2">
        <f t="shared" si="5"/>
        <v>3.0800000000000003E-3</v>
      </c>
      <c r="R12" s="2">
        <f t="shared" si="6"/>
        <v>149.13294797687863</v>
      </c>
      <c r="S12" s="2">
        <f t="shared" si="7"/>
        <v>0.18029352368178286</v>
      </c>
    </row>
    <row r="13" spans="1:19" x14ac:dyDescent="0.25">
      <c r="B13">
        <v>12.5</v>
      </c>
      <c r="C13" s="3">
        <f t="shared" si="0"/>
        <v>78.539816339744831</v>
      </c>
      <c r="D13">
        <v>8.3799999999999999E-2</v>
      </c>
      <c r="E13">
        <f>3.1*10^-6</f>
        <v>3.1E-6</v>
      </c>
      <c r="F13">
        <v>2.98</v>
      </c>
      <c r="G13">
        <v>1.1999999999999999E-3</v>
      </c>
      <c r="H13">
        <v>3.89</v>
      </c>
      <c r="I13">
        <f>7.4*10^-5</f>
        <v>7.400000000000001E-5</v>
      </c>
      <c r="J13">
        <v>4.09</v>
      </c>
      <c r="K13">
        <f>8.4*10^-4</f>
        <v>8.4000000000000003E-4</v>
      </c>
      <c r="M13">
        <f t="shared" si="1"/>
        <v>3.89</v>
      </c>
      <c r="N13">
        <f t="shared" si="2"/>
        <v>4.09</v>
      </c>
      <c r="O13">
        <f t="shared" si="3"/>
        <v>-0.19999999999999973</v>
      </c>
      <c r="P13" s="2">
        <f t="shared" si="4"/>
        <v>2.9415926535897934</v>
      </c>
      <c r="Q13" s="2">
        <f t="shared" si="5"/>
        <v>9.140000000000001E-4</v>
      </c>
      <c r="R13" s="1">
        <f t="shared" si="6"/>
        <v>35.56085918854415</v>
      </c>
      <c r="S13" s="2">
        <f t="shared" si="7"/>
        <v>1.4380106557429329E-2</v>
      </c>
    </row>
    <row r="14" spans="1:19" x14ac:dyDescent="0.25">
      <c r="B14">
        <v>13</v>
      </c>
      <c r="C14" s="3">
        <f t="shared" si="0"/>
        <v>81.681408993334628</v>
      </c>
      <c r="D14">
        <v>0.85399999999999998</v>
      </c>
      <c r="E14">
        <f>1.9*10^-5</f>
        <v>1.9000000000000001E-5</v>
      </c>
      <c r="F14">
        <v>6.41</v>
      </c>
      <c r="G14">
        <v>4.4000000000000003E-3</v>
      </c>
      <c r="H14">
        <v>1.0900000000000001</v>
      </c>
      <c r="I14">
        <f>4.4*10^-5</f>
        <v>4.4000000000000006E-5</v>
      </c>
      <c r="J14">
        <v>1.1000000000000001</v>
      </c>
      <c r="K14">
        <v>1.4E-3</v>
      </c>
      <c r="M14">
        <f t="shared" si="1"/>
        <v>1.0900000000000001</v>
      </c>
      <c r="N14">
        <f t="shared" si="2"/>
        <v>1.1000000000000001</v>
      </c>
      <c r="O14">
        <f t="shared" si="3"/>
        <v>-1.0000000000000009E-2</v>
      </c>
      <c r="P14" s="2">
        <f t="shared" si="4"/>
        <v>3.1315926535897933</v>
      </c>
      <c r="Q14" s="2">
        <f t="shared" si="5"/>
        <v>1.444E-3</v>
      </c>
      <c r="R14" s="1">
        <f t="shared" si="6"/>
        <v>7.5058548009367687</v>
      </c>
      <c r="S14" s="2">
        <f t="shared" si="7"/>
        <v>5.1549303581530665E-3</v>
      </c>
    </row>
    <row r="15" spans="1:19" x14ac:dyDescent="0.25">
      <c r="B15">
        <v>14</v>
      </c>
      <c r="C15" s="3">
        <f t="shared" si="0"/>
        <v>87.964594300514207</v>
      </c>
      <c r="D15">
        <v>0.85399999999999998</v>
      </c>
      <c r="E15">
        <f>1.5*10^-5</f>
        <v>1.5000000000000002E-5</v>
      </c>
      <c r="F15">
        <v>2.2599999999999998</v>
      </c>
      <c r="G15">
        <v>2.2000000000000001E-3</v>
      </c>
      <c r="H15">
        <v>0.90400000000000003</v>
      </c>
      <c r="I15">
        <f>3.4*10^-5</f>
        <v>3.4E-5</v>
      </c>
      <c r="J15">
        <v>0.89800000000000002</v>
      </c>
      <c r="K15">
        <v>1.9E-3</v>
      </c>
      <c r="M15">
        <f>MOD(H15, 2*PI())</f>
        <v>0.90400000000000003</v>
      </c>
      <c r="N15">
        <f t="shared" si="2"/>
        <v>0.89800000000000002</v>
      </c>
      <c r="O15">
        <f t="shared" si="3"/>
        <v>6.0000000000000053E-3</v>
      </c>
      <c r="P15" s="2">
        <f>O15 + PI()</f>
        <v>3.1475926535897933</v>
      </c>
      <c r="Q15" s="2">
        <f t="shared" si="5"/>
        <v>1.934E-3</v>
      </c>
      <c r="R15" s="2">
        <f t="shared" si="6"/>
        <v>2.6463700234192036</v>
      </c>
      <c r="S15" s="2">
        <f t="shared" si="7"/>
        <v>2.5765317246346634E-3</v>
      </c>
    </row>
    <row r="16" spans="1:19" x14ac:dyDescent="0.25">
      <c r="B16">
        <v>25</v>
      </c>
      <c r="C16" s="3">
        <f t="shared" si="0"/>
        <v>157.07963267948966</v>
      </c>
      <c r="D16">
        <v>0.85299999999999998</v>
      </c>
      <c r="E16">
        <f>1.6*10^-5</f>
        <v>1.6000000000000003E-5</v>
      </c>
      <c r="F16">
        <v>0.17599999999999999</v>
      </c>
      <c r="G16">
        <v>1.5E-3</v>
      </c>
      <c r="H16">
        <v>0.13300000000000001</v>
      </c>
      <c r="I16">
        <f>3.9*10^-5</f>
        <v>3.8999999999999999E-5</v>
      </c>
      <c r="J16">
        <v>0.11</v>
      </c>
      <c r="K16">
        <v>1.7000000000000001E-2</v>
      </c>
      <c r="M16">
        <f t="shared" si="1"/>
        <v>0.13300000000000001</v>
      </c>
      <c r="N16">
        <f t="shared" si="2"/>
        <v>0.11</v>
      </c>
      <c r="O16">
        <f t="shared" si="3"/>
        <v>2.3000000000000007E-2</v>
      </c>
      <c r="P16" s="3">
        <f>O16 + PI()</f>
        <v>3.1645926535897932</v>
      </c>
      <c r="Q16" s="3">
        <f t="shared" si="5"/>
        <v>1.7039000000000002E-2</v>
      </c>
      <c r="R16" s="2">
        <f t="shared" si="6"/>
        <v>0.20633059788980071</v>
      </c>
      <c r="S16" s="2">
        <f t="shared" si="7"/>
        <v>1.7585036727235652E-3</v>
      </c>
    </row>
    <row r="19" spans="2:14" x14ac:dyDescent="0.25">
      <c r="B19" s="5" t="s">
        <v>17</v>
      </c>
      <c r="C19" s="5" t="s">
        <v>16</v>
      </c>
      <c r="E19" s="5" t="s">
        <v>18</v>
      </c>
    </row>
    <row r="20" spans="2:14" x14ac:dyDescent="0.25">
      <c r="B20" s="3">
        <f>C3</f>
        <v>6.2831853071795862</v>
      </c>
      <c r="C20" s="2">
        <f>R3</f>
        <v>0.68735362997658078</v>
      </c>
      <c r="D20" s="2">
        <f>S3</f>
        <v>1.4051708960781484E-3</v>
      </c>
      <c r="E20" s="2">
        <f>P3</f>
        <v>2.0000000000000462E-2</v>
      </c>
      <c r="F20" s="2">
        <f>Q3</f>
        <v>4.1220000000000007E-3</v>
      </c>
    </row>
    <row r="21" spans="2:14" x14ac:dyDescent="0.25">
      <c r="B21" s="3">
        <f>C4</f>
        <v>25.132741228718345</v>
      </c>
      <c r="C21" s="2">
        <f t="shared" ref="C21:C33" si="8">R4</f>
        <v>0.76580796252927408</v>
      </c>
      <c r="D21" s="2">
        <f t="shared" ref="D21:D33" si="9">S4</f>
        <v>1.8735845843869477E-3</v>
      </c>
      <c r="E21" s="2">
        <f t="shared" ref="E21:F21" si="10">P4</f>
        <v>1.8407346410207026E-2</v>
      </c>
      <c r="F21" s="2">
        <f t="shared" si="10"/>
        <v>5.0350000000000004E-3</v>
      </c>
    </row>
    <row r="22" spans="2:14" x14ac:dyDescent="0.25">
      <c r="B22" s="3">
        <f t="shared" ref="B22:B33" si="11">C5</f>
        <v>50.26548245743669</v>
      </c>
      <c r="C22" s="2">
        <f t="shared" si="8"/>
        <v>1.2177985948477752</v>
      </c>
      <c r="D22" s="2">
        <f t="shared" si="9"/>
        <v>1.2882337979120563E-3</v>
      </c>
      <c r="E22" s="2">
        <f t="shared" ref="E22:F22" si="12">P5</f>
        <v>3.1592653589792796E-2</v>
      </c>
      <c r="F22" s="2">
        <f t="shared" si="12"/>
        <v>2.1349999999999997E-3</v>
      </c>
      <c r="L22" t="s">
        <v>19</v>
      </c>
    </row>
    <row r="23" spans="2:14" x14ac:dyDescent="0.25">
      <c r="B23" s="3">
        <f t="shared" si="11"/>
        <v>69.115038378975441</v>
      </c>
      <c r="C23" s="2">
        <f t="shared" si="8"/>
        <v>3.7822014051522248</v>
      </c>
      <c r="D23" s="2">
        <f t="shared" si="9"/>
        <v>1.6397270893910847E-3</v>
      </c>
      <c r="E23" s="2">
        <f t="shared" ref="E23:F23" si="13">P6</f>
        <v>5.1592653589792814E-2</v>
      </c>
      <c r="F23" s="2">
        <f t="shared" si="13"/>
        <v>8.9900000000000017E-4</v>
      </c>
      <c r="L23" t="s">
        <v>20</v>
      </c>
    </row>
    <row r="24" spans="2:14" x14ac:dyDescent="0.25">
      <c r="B24" s="3">
        <f t="shared" si="11"/>
        <v>70.999993971129328</v>
      </c>
      <c r="C24" s="2">
        <f t="shared" si="8"/>
        <v>4.8829039812646373</v>
      </c>
      <c r="D24" s="2">
        <f t="shared" si="9"/>
        <v>2.8111418922494909E-3</v>
      </c>
      <c r="E24" s="2">
        <f t="shared" ref="E24:F24" si="14">P7</f>
        <v>5.7592653589793041E-2</v>
      </c>
      <c r="F24" s="2">
        <f t="shared" si="14"/>
        <v>1.2289999999999998E-3</v>
      </c>
      <c r="L24" t="s">
        <v>21</v>
      </c>
      <c r="M24" t="s">
        <v>22</v>
      </c>
      <c r="N24" t="s">
        <v>23</v>
      </c>
    </row>
    <row r="25" spans="2:14" x14ac:dyDescent="0.25">
      <c r="B25" s="3">
        <f t="shared" si="11"/>
        <v>72.8849495632832</v>
      </c>
      <c r="C25" s="2">
        <f t="shared" si="8"/>
        <v>6.7564402810304447</v>
      </c>
      <c r="D25" s="2">
        <f t="shared" si="9"/>
        <v>3.5148845053487618E-3</v>
      </c>
      <c r="E25" s="2">
        <f t="shared" ref="E25:F25" si="15">P8</f>
        <v>6.3592653589793269E-2</v>
      </c>
      <c r="F25" s="2">
        <f t="shared" si="15"/>
        <v>1.034E-3</v>
      </c>
      <c r="L25">
        <v>5004.4799999999996</v>
      </c>
      <c r="M25">
        <v>-77.658799999999999</v>
      </c>
      <c r="N25">
        <v>-0.41408600000000001</v>
      </c>
    </row>
    <row r="26" spans="2:14" x14ac:dyDescent="0.25">
      <c r="B26" s="3">
        <f t="shared" si="11"/>
        <v>74.769905155437073</v>
      </c>
      <c r="C26" s="2">
        <f t="shared" si="8"/>
        <v>10.91764705882353</v>
      </c>
      <c r="D26" s="2">
        <f t="shared" si="9"/>
        <v>5.1781938485984357E-3</v>
      </c>
      <c r="E26" s="2">
        <f t="shared" ref="E26:F26" si="16">P9</f>
        <v>8.840734641020731E-2</v>
      </c>
      <c r="F26" s="2">
        <f t="shared" si="16"/>
        <v>9.540000000000002E-4</v>
      </c>
    </row>
    <row r="27" spans="2:14" x14ac:dyDescent="0.25">
      <c r="B27" s="3">
        <f t="shared" si="11"/>
        <v>76.340701482231978</v>
      </c>
      <c r="C27" s="2">
        <f t="shared" si="8"/>
        <v>24.056603773584904</v>
      </c>
      <c r="D27" s="2">
        <f t="shared" si="9"/>
        <v>1.1330310713598073E-2</v>
      </c>
      <c r="E27" s="2">
        <f t="shared" ref="E27:F27" si="17">P10</f>
        <v>0.17159265358979336</v>
      </c>
      <c r="F27" s="2">
        <f t="shared" si="17"/>
        <v>9.6800000000000011E-4</v>
      </c>
    </row>
    <row r="28" spans="2:14" x14ac:dyDescent="0.25">
      <c r="B28" s="3">
        <f t="shared" si="11"/>
        <v>76.654860747590945</v>
      </c>
      <c r="C28" s="2">
        <f t="shared" si="8"/>
        <v>31.914893617021278</v>
      </c>
      <c r="D28" s="2">
        <f t="shared" si="9"/>
        <v>8.7745433695475775E-3</v>
      </c>
      <c r="E28" s="2">
        <f t="shared" ref="E28:F28" si="18">P11</f>
        <v>0.24759265358979299</v>
      </c>
      <c r="F28" s="2">
        <f t="shared" si="18"/>
        <v>5.9299999999999999E-4</v>
      </c>
      <c r="L28" t="s">
        <v>25</v>
      </c>
    </row>
    <row r="29" spans="2:14" x14ac:dyDescent="0.25">
      <c r="B29" s="3">
        <f t="shared" si="11"/>
        <v>77.723002249811472</v>
      </c>
      <c r="C29" s="2">
        <f t="shared" si="8"/>
        <v>149.13294797687863</v>
      </c>
      <c r="D29" s="2">
        <f t="shared" si="9"/>
        <v>0.18029352368178286</v>
      </c>
      <c r="E29" s="2">
        <f t="shared" ref="E29:F29" si="19">P12</f>
        <v>1.5515926535897937</v>
      </c>
      <c r="F29" s="2">
        <f t="shared" si="19"/>
        <v>3.0800000000000003E-3</v>
      </c>
      <c r="L29" s="5" t="s">
        <v>24</v>
      </c>
      <c r="M29" s="5" t="s">
        <v>10</v>
      </c>
      <c r="N29" s="5" t="s">
        <v>11</v>
      </c>
    </row>
    <row r="30" spans="2:14" x14ac:dyDescent="0.25">
      <c r="B30" s="3">
        <f t="shared" si="11"/>
        <v>78.539816339744831</v>
      </c>
      <c r="C30" s="2">
        <f t="shared" si="8"/>
        <v>35.56085918854415</v>
      </c>
      <c r="D30" s="2">
        <f t="shared" si="9"/>
        <v>1.4380106557429329E-2</v>
      </c>
      <c r="E30" s="2">
        <f t="shared" ref="E30:F30" si="20">P13</f>
        <v>2.9415926535897934</v>
      </c>
      <c r="F30" s="2">
        <f t="shared" si="20"/>
        <v>9.140000000000001E-4</v>
      </c>
      <c r="L30" s="6">
        <f>ABS(M25)</f>
        <v>77.658799999999999</v>
      </c>
      <c r="M30" s="2">
        <f>ABS(N25)</f>
        <v>0.41408600000000001</v>
      </c>
      <c r="N30" s="4">
        <f>L30/M30</f>
        <v>187.5426843699135</v>
      </c>
    </row>
    <row r="31" spans="2:14" x14ac:dyDescent="0.25">
      <c r="B31" s="3">
        <f t="shared" si="11"/>
        <v>81.681408993334628</v>
      </c>
      <c r="C31" s="2">
        <f t="shared" si="8"/>
        <v>7.5058548009367687</v>
      </c>
      <c r="D31" s="2">
        <f t="shared" si="9"/>
        <v>5.1549303581530665E-3</v>
      </c>
      <c r="E31" s="2">
        <f t="shared" ref="E31:F31" si="21">P14</f>
        <v>3.1315926535897933</v>
      </c>
      <c r="F31" s="2">
        <f t="shared" si="21"/>
        <v>1.444E-3</v>
      </c>
    </row>
    <row r="32" spans="2:14" x14ac:dyDescent="0.25">
      <c r="B32" s="3">
        <f t="shared" si="11"/>
        <v>87.964594300514207</v>
      </c>
      <c r="C32" s="2">
        <f t="shared" si="8"/>
        <v>2.6463700234192036</v>
      </c>
      <c r="D32" s="2">
        <f t="shared" si="9"/>
        <v>2.5765317246346634E-3</v>
      </c>
      <c r="E32" s="2">
        <f t="shared" ref="E32:F32" si="22">P15</f>
        <v>3.1475926535897933</v>
      </c>
      <c r="F32" s="2">
        <f t="shared" si="22"/>
        <v>1.934E-3</v>
      </c>
    </row>
    <row r="33" spans="2:6" x14ac:dyDescent="0.25">
      <c r="B33" s="3">
        <f t="shared" si="11"/>
        <v>157.07963267948966</v>
      </c>
      <c r="C33" s="2">
        <f t="shared" si="8"/>
        <v>0.20633059788980071</v>
      </c>
      <c r="D33" s="2">
        <f t="shared" si="9"/>
        <v>1.7585036727235652E-3</v>
      </c>
      <c r="E33" s="2">
        <f t="shared" ref="E33:F33" si="23">P16</f>
        <v>3.1645926535897932</v>
      </c>
      <c r="F33" s="2">
        <f t="shared" si="23"/>
        <v>1.7039000000000002E-2</v>
      </c>
    </row>
    <row r="34" spans="2:6" x14ac:dyDescent="0.25">
      <c r="B34" s="3"/>
    </row>
    <row r="35" spans="2:6" x14ac:dyDescent="0.25">
      <c r="B35" s="3"/>
    </row>
    <row r="36" spans="2:6" x14ac:dyDescent="0.25">
      <c r="B36" s="3"/>
    </row>
    <row r="37" spans="2:6" x14ac:dyDescent="0.25">
      <c r="B37" s="3"/>
    </row>
    <row r="38" spans="2:6" x14ac:dyDescent="0.25">
      <c r="B38" s="3"/>
    </row>
    <row r="39" spans="2:6" x14ac:dyDescent="0.25">
      <c r="B39" s="3"/>
    </row>
    <row r="40" spans="2:6" x14ac:dyDescent="0.25">
      <c r="B40" s="3"/>
    </row>
    <row r="41" spans="2:6" x14ac:dyDescent="0.25">
      <c r="B41" s="3"/>
    </row>
    <row r="42" spans="2:6" x14ac:dyDescent="0.25">
      <c r="B42" s="3"/>
    </row>
    <row r="43" spans="2:6" x14ac:dyDescent="0.25">
      <c r="B43" s="3"/>
    </row>
    <row r="44" spans="2:6" x14ac:dyDescent="0.25">
      <c r="B44" s="3"/>
    </row>
    <row r="45" spans="2:6" x14ac:dyDescent="0.25">
      <c r="B45" s="3"/>
    </row>
    <row r="46" spans="2:6" x14ac:dyDescent="0.25">
      <c r="B46" s="3"/>
    </row>
    <row r="47" spans="2:6" x14ac:dyDescent="0.25">
      <c r="B47" s="3"/>
    </row>
    <row r="48" spans="2: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 Oscillator</vt:lpstr>
      <vt:lpstr>Driven Oscillator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2018-02-17T23:14:42Z</dcterms:modified>
</cp:coreProperties>
</file>