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A163021-16CB-4F45-B0DA-5D732CC1FFE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1" l="1"/>
  <c r="C54" i="1"/>
  <c r="D44" i="1"/>
  <c r="J44" i="1"/>
  <c r="H44" i="1"/>
  <c r="F44" i="1"/>
  <c r="E56" i="1" l="1"/>
  <c r="C56" i="1"/>
  <c r="H46" i="1"/>
  <c r="J46" i="1"/>
  <c r="D46" i="1"/>
  <c r="A36" i="1"/>
  <c r="B27" i="1"/>
  <c r="A27" i="1"/>
  <c r="B25" i="1"/>
  <c r="B29" i="1" s="1"/>
  <c r="A25" i="1"/>
  <c r="A22" i="1"/>
  <c r="B22" i="1" s="1"/>
  <c r="A18" i="1"/>
  <c r="A52" i="1" s="1"/>
  <c r="D8" i="1"/>
  <c r="E3" i="1"/>
  <c r="B3" i="1"/>
  <c r="A3" i="1"/>
  <c r="C3" i="1"/>
  <c r="D3" i="1"/>
  <c r="F54" i="1" l="1"/>
  <c r="D54" i="1"/>
  <c r="B42" i="1"/>
  <c r="I44" i="1" s="1"/>
  <c r="B18" i="1"/>
  <c r="A29" i="1"/>
  <c r="A31" i="1" s="1"/>
  <c r="E44" i="1"/>
  <c r="D31" i="1"/>
  <c r="B31" i="1"/>
  <c r="B6" i="1"/>
  <c r="G44" i="1" l="1"/>
  <c r="K44" i="1"/>
  <c r="C6" i="1"/>
  <c r="E6" i="1" s="1"/>
  <c r="D6" i="1"/>
  <c r="E31" i="1"/>
</calcChain>
</file>

<file path=xl/sharedStrings.xml><?xml version="1.0" encoding="utf-8"?>
<sst xmlns="http://schemas.openxmlformats.org/spreadsheetml/2006/main" count="54" uniqueCount="44">
  <si>
    <t>Capacitance of RG-58 coaxial cable</t>
  </si>
  <si>
    <t>Time constant (s)</t>
  </si>
  <si>
    <t>Req (Ohms)</t>
  </si>
  <si>
    <t>C of scope (F)</t>
  </si>
  <si>
    <t>L (m)</t>
  </si>
  <si>
    <t>Observed</t>
  </si>
  <si>
    <t>C/m (pF/m)</t>
  </si>
  <si>
    <t>Theoretical</t>
  </si>
  <si>
    <t>C/m (pF/ft)</t>
  </si>
  <si>
    <t>The frequency of the transient response is lower with the longer cable since it's total capacitance is greater, so it takes longer to accumulate charge and respond to the signal.</t>
  </si>
  <si>
    <t>Propogation speed of a signal in RG-58</t>
  </si>
  <si>
    <t>Attenuation</t>
  </si>
  <si>
    <t>Coupled ratio (dB)</t>
  </si>
  <si>
    <t>Time delay with 40 ft cable (s)</t>
  </si>
  <si>
    <t>Time delay without 40 ft cable (s)</t>
  </si>
  <si>
    <t>Round-trip time (s)</t>
  </si>
  <si>
    <t>Observed velocity (m/s)</t>
  </si>
  <si>
    <t>As a fraction of c</t>
  </si>
  <si>
    <t>Based on this result, I concluded that the insulator is solid polyethylene.</t>
  </si>
  <si>
    <t>Dielectric constant</t>
  </si>
  <si>
    <t>Theoretical velocity (m/s)</t>
  </si>
  <si>
    <t>Reflection coefficients from different terminations</t>
  </si>
  <si>
    <t>Amplitude (V)</t>
  </si>
  <si>
    <t>Incident pulse</t>
  </si>
  <si>
    <t>IN signal</t>
  </si>
  <si>
    <t>OUT signal</t>
  </si>
  <si>
    <t>CPL signal</t>
  </si>
  <si>
    <t>50-Ohm resistor</t>
  </si>
  <si>
    <t>Open circuit (Z=inf)</t>
  </si>
  <si>
    <t>Short circuit (Z=0)</t>
  </si>
  <si>
    <t>93-Ohm resistor</t>
  </si>
  <si>
    <t>Observed reflection coefficient r</t>
  </si>
  <si>
    <t>Theoretical reflection coefficient r</t>
  </si>
  <si>
    <t>Reflection and transmission coefficients from impedance discontinuity</t>
  </si>
  <si>
    <t>Z1 (Ohms)</t>
  </si>
  <si>
    <t>Z2 (Ohms)</t>
  </si>
  <si>
    <t>Z term (Ohms)</t>
  </si>
  <si>
    <t>INF</t>
  </si>
  <si>
    <t>Reflected pulse</t>
  </si>
  <si>
    <t>Transmitted pulse</t>
  </si>
  <si>
    <t>Observed coefficient</t>
  </si>
  <si>
    <t>r</t>
  </si>
  <si>
    <t>t</t>
  </si>
  <si>
    <t>Theoretical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</si>
</sst>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E+00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43" workbookViewId="0">
      <selection activeCell="J55" sqref="J55"/>
    </sheetView>
  </sheetViews>
  <sheetFormatPr defaultRowHeight="15" x14ac:dyDescent="0.25"/>
  <cols>
    <col min="2" max="2" width="9.140625" customWidth="1"/>
  </cols>
  <sheetData>
    <row r="1" spans="1:6" ht="23.25" x14ac:dyDescent="0.35">
      <c r="A1" s="1" t="s">
        <v>0</v>
      </c>
    </row>
    <row r="2" spans="1:6" x14ac:dyDescent="0.25">
      <c r="A2" t="s">
        <v>1</v>
      </c>
      <c r="C2" t="s">
        <v>2</v>
      </c>
      <c r="D2" t="s">
        <v>3</v>
      </c>
      <c r="E2" t="s">
        <v>4</v>
      </c>
    </row>
    <row r="3" spans="1:6" x14ac:dyDescent="0.25">
      <c r="A3" s="5">
        <f>3.08*10^-6</f>
        <v>3.0799999999999997E-6</v>
      </c>
      <c r="B3" s="5">
        <f>0.2*10^-6</f>
        <v>1.9999999999999999E-7</v>
      </c>
      <c r="C3">
        <f>10*10^3</f>
        <v>10000</v>
      </c>
      <c r="D3">
        <f>20*10^-12</f>
        <v>1.9999999999999999E-11</v>
      </c>
      <c r="E3">
        <f>10*0.3048</f>
        <v>3.048</v>
      </c>
    </row>
    <row r="5" spans="1:6" x14ac:dyDescent="0.25">
      <c r="A5" t="s">
        <v>5</v>
      </c>
      <c r="B5" t="s">
        <v>6</v>
      </c>
      <c r="D5" t="s">
        <v>8</v>
      </c>
    </row>
    <row r="6" spans="1:6" x14ac:dyDescent="0.25">
      <c r="B6" s="7">
        <f>(((A3/C3)-D3)/E3)*10^12</f>
        <v>94.488188976377941</v>
      </c>
      <c r="C6" s="7">
        <f>B6*(B3/A3)</f>
        <v>6.1355966867777889</v>
      </c>
      <c r="D6" s="7">
        <f>B6*0.3048</f>
        <v>28.799999999999997</v>
      </c>
      <c r="E6" s="7">
        <f>C6*0.3048</f>
        <v>1.8701298701298701</v>
      </c>
    </row>
    <row r="7" spans="1:6" x14ac:dyDescent="0.25">
      <c r="A7" t="s">
        <v>7</v>
      </c>
      <c r="B7" t="s">
        <v>6</v>
      </c>
      <c r="D7" t="s">
        <v>8</v>
      </c>
    </row>
    <row r="8" spans="1:6" x14ac:dyDescent="0.25">
      <c r="B8">
        <v>101</v>
      </c>
      <c r="D8" s="7">
        <f>B8*0.3048</f>
        <v>30.784800000000001</v>
      </c>
    </row>
    <row r="10" spans="1:6" x14ac:dyDescent="0.25">
      <c r="A10" t="s">
        <v>9</v>
      </c>
    </row>
    <row r="12" spans="1:6" ht="23.25" x14ac:dyDescent="0.35">
      <c r="A12" s="1" t="s">
        <v>10</v>
      </c>
    </row>
    <row r="13" spans="1:6" x14ac:dyDescent="0.25">
      <c r="A13" t="s">
        <v>22</v>
      </c>
    </row>
    <row r="14" spans="1:6" x14ac:dyDescent="0.25">
      <c r="A14" t="s">
        <v>24</v>
      </c>
      <c r="C14" t="s">
        <v>25</v>
      </c>
      <c r="E14" t="s">
        <v>26</v>
      </c>
    </row>
    <row r="15" spans="1:6" x14ac:dyDescent="0.25">
      <c r="A15">
        <v>20.6</v>
      </c>
      <c r="B15">
        <v>0.5</v>
      </c>
      <c r="C15">
        <v>20.2</v>
      </c>
      <c r="D15">
        <v>0.5</v>
      </c>
      <c r="E15">
        <v>2.2000000000000002</v>
      </c>
      <c r="F15">
        <v>0.1</v>
      </c>
    </row>
    <row r="17" spans="1:5" x14ac:dyDescent="0.25">
      <c r="A17" t="s">
        <v>11</v>
      </c>
    </row>
    <row r="18" spans="1:5" x14ac:dyDescent="0.25">
      <c r="A18" s="4">
        <f>1-(C15/A15)</f>
        <v>1.9417475728155442E-2</v>
      </c>
      <c r="B18" s="4">
        <f>A18*SQRT((B15/A15)^2 + (D15/C15)^2)</f>
        <v>6.7314747526575711E-4</v>
      </c>
    </row>
    <row r="19" spans="1:5" x14ac:dyDescent="0.25">
      <c r="A19" s="4"/>
      <c r="B19" s="4"/>
    </row>
    <row r="20" spans="1:5" x14ac:dyDescent="0.25">
      <c r="A20" t="s">
        <v>5</v>
      </c>
      <c r="C20" t="s">
        <v>7</v>
      </c>
    </row>
    <row r="21" spans="1:5" x14ac:dyDescent="0.25">
      <c r="A21" t="s">
        <v>12</v>
      </c>
      <c r="C21" t="s">
        <v>12</v>
      </c>
    </row>
    <row r="22" spans="1:5" x14ac:dyDescent="0.25">
      <c r="A22" s="7">
        <f>10*LOG10((E15/A15)^2)</f>
        <v>-19.428890790938944</v>
      </c>
      <c r="B22" s="7">
        <f>ABS(A22*SQRT((F15/E15)^2 + (B15/A15)^2))</f>
        <v>1.0011513710072333</v>
      </c>
      <c r="C22">
        <v>-20</v>
      </c>
    </row>
    <row r="24" spans="1:5" x14ac:dyDescent="0.25">
      <c r="A24" t="s">
        <v>13</v>
      </c>
    </row>
    <row r="25" spans="1:5" x14ac:dyDescent="0.25">
      <c r="A25" s="5">
        <f>129*10^-9</f>
        <v>1.29E-7</v>
      </c>
      <c r="B25" s="5">
        <f>2*10^-9</f>
        <v>2.0000000000000001E-9</v>
      </c>
    </row>
    <row r="26" spans="1:5" x14ac:dyDescent="0.25">
      <c r="A26" t="s">
        <v>14</v>
      </c>
    </row>
    <row r="27" spans="1:5" x14ac:dyDescent="0.25">
      <c r="A27" s="5">
        <f>5*10^-9</f>
        <v>5.0000000000000001E-9</v>
      </c>
      <c r="B27" s="5">
        <f>1*10^-9</f>
        <v>1.0000000000000001E-9</v>
      </c>
    </row>
    <row r="28" spans="1:5" x14ac:dyDescent="0.25">
      <c r="A28" t="s">
        <v>15</v>
      </c>
    </row>
    <row r="29" spans="1:5" x14ac:dyDescent="0.25">
      <c r="A29" s="5">
        <f>A25-A27</f>
        <v>1.24E-7</v>
      </c>
      <c r="B29" s="5">
        <f>B25+B27</f>
        <v>3.0000000000000004E-9</v>
      </c>
    </row>
    <row r="30" spans="1:5" x14ac:dyDescent="0.25">
      <c r="A30" t="s">
        <v>16</v>
      </c>
      <c r="D30" t="s">
        <v>17</v>
      </c>
    </row>
    <row r="31" spans="1:5" x14ac:dyDescent="0.25">
      <c r="A31" s="5">
        <f>(2*40*0.3048)/A29</f>
        <v>196645161.29032257</v>
      </c>
      <c r="B31" s="6">
        <f>A31*(B29/A29)</f>
        <v>4757544.2247658689</v>
      </c>
      <c r="D31" s="3">
        <f>A31/299792458</f>
        <v>0.65593765300901119</v>
      </c>
      <c r="E31" s="3">
        <f>D31*(B31/A31)</f>
        <v>1.5869459346992205E-2</v>
      </c>
    </row>
    <row r="32" spans="1:5" x14ac:dyDescent="0.25">
      <c r="A32" t="s">
        <v>18</v>
      </c>
    </row>
    <row r="33" spans="1:11" x14ac:dyDescent="0.25">
      <c r="A33" s="5" t="s">
        <v>19</v>
      </c>
    </row>
    <row r="34" spans="1:11" x14ac:dyDescent="0.25">
      <c r="A34">
        <v>2.2999999999999998</v>
      </c>
    </row>
    <row r="35" spans="1:11" x14ac:dyDescent="0.25">
      <c r="A35" s="5" t="s">
        <v>20</v>
      </c>
    </row>
    <row r="36" spans="1:11" x14ac:dyDescent="0.25">
      <c r="A36" s="5">
        <f>299792458/SQRT(A34)</f>
        <v>197677292.87652659</v>
      </c>
    </row>
    <row r="38" spans="1:11" ht="23.25" x14ac:dyDescent="0.35">
      <c r="A38" s="1" t="s">
        <v>21</v>
      </c>
    </row>
    <row r="39" spans="1:11" x14ac:dyDescent="0.25">
      <c r="B39" t="s">
        <v>22</v>
      </c>
    </row>
    <row r="40" spans="1:11" x14ac:dyDescent="0.25">
      <c r="B40" t="s">
        <v>23</v>
      </c>
      <c r="D40" t="s">
        <v>27</v>
      </c>
      <c r="F40" t="s">
        <v>28</v>
      </c>
      <c r="H40" t="s">
        <v>29</v>
      </c>
      <c r="J40" t="s">
        <v>30</v>
      </c>
    </row>
    <row r="41" spans="1:11" x14ac:dyDescent="0.25">
      <c r="A41" t="s">
        <v>36</v>
      </c>
      <c r="B41">
        <v>50</v>
      </c>
      <c r="D41">
        <v>50</v>
      </c>
      <c r="F41" t="s">
        <v>37</v>
      </c>
      <c r="H41">
        <v>0</v>
      </c>
      <c r="J41">
        <v>93</v>
      </c>
    </row>
    <row r="42" spans="1:11" x14ac:dyDescent="0.25">
      <c r="B42" s="2">
        <f>2.26*(1-$A$18)</f>
        <v>2.2161165048543685</v>
      </c>
      <c r="C42">
        <v>0.1</v>
      </c>
      <c r="D42">
        <v>0</v>
      </c>
      <c r="E42">
        <v>0</v>
      </c>
      <c r="F42" s="2">
        <v>2.04</v>
      </c>
      <c r="G42">
        <v>0.1</v>
      </c>
      <c r="H42" s="2">
        <v>-2.04</v>
      </c>
      <c r="I42">
        <v>0.1</v>
      </c>
      <c r="J42" s="2">
        <v>0.57999999999999996</v>
      </c>
      <c r="K42">
        <v>0.1</v>
      </c>
    </row>
    <row r="43" spans="1:11" x14ac:dyDescent="0.25">
      <c r="B43" t="s">
        <v>31</v>
      </c>
    </row>
    <row r="44" spans="1:11" x14ac:dyDescent="0.25">
      <c r="D44">
        <f>D42/($B$42*(1-$A$18))</f>
        <v>0</v>
      </c>
      <c r="E44">
        <f>D44*SQRT(($C$42/$B$42)^2)</f>
        <v>0</v>
      </c>
      <c r="F44" s="3">
        <f>F42/($B$42*(1-$A$18))</f>
        <v>0.93875752247090161</v>
      </c>
      <c r="G44" s="3">
        <f>F44*SQRT((G42/F42)^2+($C$42/$B$42)^2)</f>
        <v>6.2546164355512385E-2</v>
      </c>
      <c r="H44" s="3">
        <f>H42/($B$42*(1-$A$18))</f>
        <v>-0.93875752247090161</v>
      </c>
      <c r="I44" s="3">
        <f>ABS(H44*SQRT((I42/H42)^2+($C$42/$B$42)^2))</f>
        <v>6.2546164355512385E-2</v>
      </c>
      <c r="J44" s="3">
        <f>J42/($B$42*(1-$A$18))</f>
        <v>0.26690164854564846</v>
      </c>
      <c r="K44" s="3">
        <f>J44*SQRT((K42/J42)^2+($C$42/$B$42)^2)</f>
        <v>4.7567452430963351E-2</v>
      </c>
    </row>
    <row r="45" spans="1:11" x14ac:dyDescent="0.25">
      <c r="B45" t="s">
        <v>32</v>
      </c>
    </row>
    <row r="46" spans="1:11" x14ac:dyDescent="0.25">
      <c r="D46">
        <f>(D41-$B$41)/(D41+$B$41)</f>
        <v>0</v>
      </c>
      <c r="F46">
        <v>1</v>
      </c>
      <c r="H46">
        <f>(H41-$B$41)/(H41+$B$41)</f>
        <v>-1</v>
      </c>
      <c r="J46" s="2">
        <f>(J41-$B$41)/(J41+$B$41)</f>
        <v>0.30069930069930068</v>
      </c>
    </row>
    <row r="47" spans="1:11" ht="23.25" x14ac:dyDescent="0.35">
      <c r="A47" s="1" t="s">
        <v>33</v>
      </c>
    </row>
    <row r="48" spans="1:11" x14ac:dyDescent="0.25">
      <c r="A48" t="s">
        <v>34</v>
      </c>
      <c r="B48" t="s">
        <v>35</v>
      </c>
    </row>
    <row r="49" spans="1:6" x14ac:dyDescent="0.25">
      <c r="A49">
        <v>50</v>
      </c>
      <c r="B49">
        <v>93</v>
      </c>
    </row>
    <row r="50" spans="1:6" x14ac:dyDescent="0.25">
      <c r="A50" t="s">
        <v>22</v>
      </c>
    </row>
    <row r="51" spans="1:6" x14ac:dyDescent="0.25">
      <c r="A51" t="s">
        <v>23</v>
      </c>
      <c r="C51" t="s">
        <v>38</v>
      </c>
      <c r="E51" t="s">
        <v>39</v>
      </c>
    </row>
    <row r="52" spans="1:6" x14ac:dyDescent="0.25">
      <c r="A52" s="2">
        <f>2.26*(1-$A$18)</f>
        <v>2.2161165048543685</v>
      </c>
      <c r="B52">
        <v>0.1</v>
      </c>
      <c r="C52" s="2">
        <v>0.57999999999999996</v>
      </c>
      <c r="D52">
        <v>0.1</v>
      </c>
      <c r="E52" s="2">
        <v>2.65</v>
      </c>
      <c r="F52">
        <v>0.1</v>
      </c>
    </row>
    <row r="53" spans="1:6" x14ac:dyDescent="0.25">
      <c r="A53" t="s">
        <v>40</v>
      </c>
      <c r="C53" t="s">
        <v>41</v>
      </c>
      <c r="E53" t="s">
        <v>42</v>
      </c>
    </row>
    <row r="54" spans="1:6" x14ac:dyDescent="0.25">
      <c r="C54" s="3">
        <f>C52/($A$52*(1-$A$18))</f>
        <v>0.26690164854564846</v>
      </c>
      <c r="D54" s="3">
        <f>C54*SQRT((D52/C52)^2+($B$52/$A$52)^2)</f>
        <v>4.7567452430963351E-2</v>
      </c>
      <c r="E54" s="2">
        <f>E52/($A$52*(1-$A$18))</f>
        <v>1.2194644286999456</v>
      </c>
      <c r="F54" s="2">
        <f>E54*SQRT((F52/E52)^2+($B$52/$A$52)^2)</f>
        <v>7.1732791123926998E-2</v>
      </c>
    </row>
    <row r="55" spans="1:6" x14ac:dyDescent="0.25">
      <c r="A55" t="s">
        <v>43</v>
      </c>
      <c r="C55" t="s">
        <v>41</v>
      </c>
      <c r="E55" t="s">
        <v>42</v>
      </c>
    </row>
    <row r="56" spans="1:6" x14ac:dyDescent="0.25">
      <c r="C56" s="3">
        <f>(B49-A49)/(B49+A49)</f>
        <v>0.30069930069930068</v>
      </c>
      <c r="E56" s="2">
        <f>(2*B49)/(A49+B49)</f>
        <v>1.3006993006993006</v>
      </c>
    </row>
  </sheetData>
  <pageMargins left="0.7" right="0.7" top="0.75" bottom="0.75" header="0.3" footer="0.3"/>
  <ignoredErrors>
    <ignoredError sqref="D5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2018-03-31T23:20:26Z</dcterms:modified>
</cp:coreProperties>
</file>